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S:\SEATTLE\C\City of Kent_COKE\2025\Employee Communications\"/>
    </mc:Choice>
  </mc:AlternateContent>
  <xr:revisionPtr revIDLastSave="0" documentId="13_ncr:1_{A14FF19E-10A2-43B9-9FC5-D1BD6B982A66}" xr6:coauthVersionLast="47" xr6:coauthVersionMax="47" xr10:uidLastSave="{00000000-0000-0000-0000-000000000000}"/>
  <workbookProtection lockStructure="1"/>
  <bookViews>
    <workbookView xWindow="-120" yWindow="-120" windowWidth="29040" windowHeight="15840" xr2:uid="{00000000-000D-0000-FFFF-FFFF00000000}"/>
  </bookViews>
  <sheets>
    <sheet name="Plan Comparison Calculator" sheetId="11" r:id="rId1"/>
    <sheet name="Data" sheetId="13" state="hidden" r:id="rId2"/>
  </sheets>
  <definedNames>
    <definedName name="_xlnm.Print_Area" localSheetId="1">Data!$A$1:$I$21</definedName>
    <definedName name="_xlnm.Print_Area" localSheetId="0">'Plan Comparison Calculator'!$B$3:$J$38</definedName>
    <definedName name="Tiers">OFFSET(Data!$A$14,0,0,COUNTA(Data!$A$14:$A$19),1)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13" l="1"/>
  <c r="L17" i="13" l="1"/>
  <c r="M15" i="13" l="1"/>
  <c r="M14" i="13"/>
  <c r="E31" i="13" l="1"/>
  <c r="E30" i="13"/>
  <c r="H35" i="11" l="1"/>
  <c r="B35" i="11" l="1"/>
  <c r="K35" i="11"/>
  <c r="J35" i="11"/>
  <c r="I35" i="11"/>
  <c r="AC4" i="13"/>
  <c r="AC5" i="13"/>
  <c r="P20" i="13" l="1"/>
  <c r="N31" i="13" s="1"/>
  <c r="L20" i="13"/>
  <c r="J31" i="13" s="1"/>
  <c r="K20" i="13"/>
  <c r="G20" i="13"/>
  <c r="F30" i="13" s="1"/>
  <c r="H20" i="13"/>
  <c r="F31" i="13" s="1"/>
  <c r="D17" i="13"/>
  <c r="D16" i="13"/>
  <c r="D18" i="13" s="1"/>
  <c r="L18" i="13"/>
  <c r="M16" i="13"/>
  <c r="M18" i="13" s="1"/>
  <c r="M17" i="13"/>
  <c r="O16" i="13"/>
  <c r="P16" i="13"/>
  <c r="O17" i="13"/>
  <c r="P17" i="13"/>
  <c r="O18" i="13"/>
  <c r="P18" i="13"/>
  <c r="O19" i="13"/>
  <c r="P19" i="13"/>
  <c r="Q19" i="13"/>
  <c r="J30" i="13" l="1"/>
  <c r="L31" i="13"/>
  <c r="K31" i="13"/>
  <c r="H31" i="13"/>
  <c r="G31" i="13"/>
  <c r="P31" i="13"/>
  <c r="O31" i="13"/>
  <c r="K34" i="11"/>
  <c r="I34" i="11"/>
  <c r="H34" i="11"/>
  <c r="G11" i="11"/>
  <c r="F11" i="11"/>
  <c r="H7" i="11"/>
  <c r="H6" i="11"/>
  <c r="B6" i="11"/>
  <c r="H5" i="11"/>
  <c r="H4" i="11"/>
  <c r="B10" i="11"/>
  <c r="B7" i="11"/>
  <c r="B5" i="11"/>
  <c r="S3" i="13" l="1"/>
  <c r="S4" i="13"/>
  <c r="S5" i="13"/>
  <c r="S6" i="13"/>
  <c r="S7" i="13"/>
  <c r="S8" i="13"/>
  <c r="S9" i="13"/>
  <c r="S10" i="13"/>
  <c r="S11" i="13"/>
  <c r="S2" i="13"/>
  <c r="O20" i="13"/>
  <c r="N30" i="13" s="1"/>
  <c r="D20" i="13"/>
  <c r="B31" i="13" s="1"/>
  <c r="C20" i="13"/>
  <c r="B30" i="13" s="1"/>
  <c r="U3" i="13"/>
  <c r="U4" i="13"/>
  <c r="U5" i="13"/>
  <c r="U6" i="13"/>
  <c r="U7" i="13"/>
  <c r="U8" i="13"/>
  <c r="U9" i="13"/>
  <c r="U10" i="13"/>
  <c r="U11" i="13"/>
  <c r="B2" i="11"/>
  <c r="U2" i="13"/>
  <c r="T2" i="13"/>
  <c r="K4" i="11"/>
  <c r="K32" i="11" s="1"/>
  <c r="J4" i="11"/>
  <c r="J10" i="11" s="1"/>
  <c r="I4" i="11"/>
  <c r="I32" i="11" s="1"/>
  <c r="H32" i="11"/>
  <c r="D31" i="13" l="1"/>
  <c r="C31" i="13"/>
  <c r="F27" i="13"/>
  <c r="N27" i="13"/>
  <c r="B27" i="13"/>
  <c r="C30" i="13" s="1"/>
  <c r="J27" i="13"/>
  <c r="T11" i="13"/>
  <c r="J30" i="11" s="1"/>
  <c r="T7" i="13"/>
  <c r="J23" i="11" s="1"/>
  <c r="T3" i="13"/>
  <c r="T10" i="13"/>
  <c r="I29" i="11" s="1"/>
  <c r="T6" i="13"/>
  <c r="I22" i="11" s="1"/>
  <c r="T9" i="13"/>
  <c r="K28" i="11" s="1"/>
  <c r="T5" i="13"/>
  <c r="T8" i="13"/>
  <c r="H25" i="11" s="1"/>
  <c r="T4" i="13"/>
  <c r="K16" i="11" s="1"/>
  <c r="H10" i="11"/>
  <c r="K10" i="11"/>
  <c r="J32" i="11"/>
  <c r="I10" i="11"/>
  <c r="N28" i="13" l="1"/>
  <c r="F28" i="13"/>
  <c r="B28" i="13"/>
  <c r="J28" i="13"/>
  <c r="C27" i="13"/>
  <c r="D30" i="13" s="1"/>
  <c r="K19" i="11"/>
  <c r="I28" i="11"/>
  <c r="K23" i="11"/>
  <c r="J22" i="11"/>
  <c r="I30" i="11"/>
  <c r="K22" i="11"/>
  <c r="H30" i="11"/>
  <c r="K30" i="11"/>
  <c r="H13" i="11"/>
  <c r="K13" i="11"/>
  <c r="J13" i="11"/>
  <c r="H22" i="11"/>
  <c r="J19" i="11"/>
  <c r="I16" i="11"/>
  <c r="J16" i="11"/>
  <c r="H16" i="11"/>
  <c r="H28" i="11"/>
  <c r="I23" i="11"/>
  <c r="H19" i="11"/>
  <c r="I13" i="11"/>
  <c r="H23" i="11"/>
  <c r="J28" i="11"/>
  <c r="K25" i="11"/>
  <c r="J29" i="11"/>
  <c r="I25" i="11"/>
  <c r="K29" i="11"/>
  <c r="I19" i="11"/>
  <c r="J25" i="11"/>
  <c r="H29" i="11"/>
  <c r="F2" i="13"/>
  <c r="G2" i="13"/>
  <c r="H2" i="13"/>
  <c r="I2" i="13"/>
  <c r="J2" i="13"/>
  <c r="K2" i="13"/>
  <c r="L2" i="13"/>
  <c r="M2" i="13"/>
  <c r="N2" i="13"/>
  <c r="O2" i="13"/>
  <c r="P2" i="13"/>
  <c r="Q2" i="13"/>
  <c r="F12" i="13"/>
  <c r="I5" i="11" s="1"/>
  <c r="G12" i="13"/>
  <c r="H12" i="13"/>
  <c r="I12" i="13"/>
  <c r="J12" i="13"/>
  <c r="J5" i="11" s="1"/>
  <c r="K12" i="13"/>
  <c r="L12" i="13"/>
  <c r="M12" i="13"/>
  <c r="N12" i="13"/>
  <c r="K5" i="11" s="1"/>
  <c r="O12" i="13"/>
  <c r="P12" i="13"/>
  <c r="Q12" i="13"/>
  <c r="Q31" i="13" l="1"/>
  <c r="M31" i="13"/>
  <c r="I31" i="13"/>
  <c r="Q30" i="13"/>
  <c r="O30" i="13" s="1"/>
  <c r="O27" i="13" s="1"/>
  <c r="P30" i="13" s="1"/>
  <c r="P27" i="13" s="1"/>
  <c r="Q27" i="13" s="1"/>
  <c r="M30" i="13"/>
  <c r="K30" i="13" s="1"/>
  <c r="I30" i="13"/>
  <c r="G30" i="13" s="1"/>
  <c r="G27" i="13" s="1"/>
  <c r="J34" i="11"/>
  <c r="D27" i="13"/>
  <c r="E27" i="13" s="1"/>
  <c r="C28" i="13"/>
  <c r="K7" i="11"/>
  <c r="J7" i="11"/>
  <c r="I7" i="11"/>
  <c r="I6" i="11"/>
  <c r="K6" i="11"/>
  <c r="J6" i="11"/>
  <c r="I36" i="11"/>
  <c r="O28" i="13" l="1"/>
  <c r="H30" i="13"/>
  <c r="H27" i="13" s="1"/>
  <c r="H28" i="13" s="1"/>
  <c r="K27" i="13"/>
  <c r="L30" i="13" s="1"/>
  <c r="L27" i="13" s="1"/>
  <c r="M27" i="13" s="1"/>
  <c r="G28" i="13"/>
  <c r="D28" i="13"/>
  <c r="E28" i="13" s="1"/>
  <c r="B21" i="13" s="1"/>
  <c r="P28" i="13"/>
  <c r="K36" i="11"/>
  <c r="H36" i="11"/>
  <c r="L28" i="13" l="1"/>
  <c r="Q28" i="13"/>
  <c r="N21" i="13" s="1"/>
  <c r="K33" i="11" s="1"/>
  <c r="K37" i="11" s="1"/>
  <c r="I27" i="13"/>
  <c r="I28" i="13" s="1"/>
  <c r="K28" i="13"/>
  <c r="H33" i="11"/>
  <c r="H37" i="11" s="1"/>
  <c r="J36" i="11"/>
  <c r="F21" i="13" l="1"/>
  <c r="I33" i="11" s="1"/>
  <c r="I37" i="11" s="1"/>
  <c r="M28" i="13"/>
  <c r="J21" i="13" s="1"/>
  <c r="J33" i="11" l="1"/>
  <c r="J37" i="11" s="1"/>
</calcChain>
</file>

<file path=xl/sharedStrings.xml><?xml version="1.0" encoding="utf-8"?>
<sst xmlns="http://schemas.openxmlformats.org/spreadsheetml/2006/main" count="121" uniqueCount="90">
  <si>
    <t>TOTAL ANNUAL COST BASED ON DATA ENTERED</t>
  </si>
  <si>
    <t>Emergency Room Visits</t>
  </si>
  <si>
    <t xml:space="preserve">Your Annual Premium </t>
  </si>
  <si>
    <t>Inpatient Hospital</t>
  </si>
  <si>
    <t>Deductible</t>
  </si>
  <si>
    <t>Select Enrollment Tier:</t>
  </si>
  <si>
    <t xml:space="preserve">Office Visit </t>
  </si>
  <si>
    <t>Lab and X-Ray</t>
  </si>
  <si>
    <t>Total Estimated Utilization Costs (value calculated from the utilization boxes shown above)</t>
  </si>
  <si>
    <t>Enter the number of times you have prescriptions filled each year (estimate based on retail pharmacies)</t>
  </si>
  <si>
    <t>Wellness Incentive</t>
  </si>
  <si>
    <t>Employee</t>
  </si>
  <si>
    <t xml:space="preserve">TAX SAVINGS CONSIDERATIONS:
Additional factors such as tax savings may affect the net cost of plan coverage. Your contributions for health coverage are made on a pre-tax basis. In addition, any contributions you make to a Flexible Spending Account are also made on a pre-tax or tax deductible basis. </t>
  </si>
  <si>
    <t>Office Visit</t>
  </si>
  <si>
    <t>Type</t>
  </si>
  <si>
    <t>Copay</t>
  </si>
  <si>
    <t>Basic Lab</t>
  </si>
  <si>
    <t>Complex Lab</t>
  </si>
  <si>
    <t>Other</t>
  </si>
  <si>
    <t>Generic</t>
  </si>
  <si>
    <t>Brand Name (Formulary)</t>
  </si>
  <si>
    <t>ER Visit</t>
  </si>
  <si>
    <t>Total</t>
  </si>
  <si>
    <t>Enter the average number of office visits</t>
  </si>
  <si>
    <t>Enter the average number of emergency visits</t>
  </si>
  <si>
    <t>Enter the average number of Basic services</t>
  </si>
  <si>
    <t>Enter the average number of Complex Imaging</t>
  </si>
  <si>
    <t>Enter the average number of admissions (we are assuming you'll be there for at least 3 consecutive days per admit)</t>
  </si>
  <si>
    <t>Generics</t>
  </si>
  <si>
    <t>Brand name drugs included in the plan formulary</t>
  </si>
  <si>
    <t>Brand name drugs NOT included in the plan formulary</t>
  </si>
  <si>
    <t>Deductible then Coinsurance</t>
  </si>
  <si>
    <t>None</t>
  </si>
  <si>
    <t>Additional Contribution</t>
  </si>
  <si>
    <t>OOP Max</t>
  </si>
  <si>
    <t>Premium</t>
  </si>
  <si>
    <t>Brand Name (Non-Formulary)</t>
  </si>
  <si>
    <t>HRA</t>
  </si>
  <si>
    <t>HSA</t>
  </si>
  <si>
    <t>Aggregate</t>
  </si>
  <si>
    <t>Coinsurance %</t>
  </si>
  <si>
    <t>Coinsurance Only (Waive Deductible)</t>
  </si>
  <si>
    <t>Embedded</t>
  </si>
  <si>
    <t>Number of Services</t>
  </si>
  <si>
    <t>Value</t>
  </si>
  <si>
    <r>
      <t xml:space="preserve">COST CALCULATOR
</t>
    </r>
    <r>
      <rPr>
        <b/>
        <sz val="8"/>
        <color indexed="9"/>
        <rFont val="ITC Lubalin Graph Std Book"/>
        <family val="1"/>
      </rPr>
      <t>Disclaimer: This calculator is only an estimate of costs and is not an actual representation of your actual costs or how the insurance company will process your claims.</t>
    </r>
  </si>
  <si>
    <r>
      <rPr>
        <b/>
        <sz val="10"/>
        <color indexed="8"/>
        <rFont val="Source Sans Pro"/>
        <family val="2"/>
      </rPr>
      <t>All Other</t>
    </r>
    <r>
      <rPr>
        <sz val="10"/>
        <color indexed="8"/>
        <rFont val="Source Sans Pro"/>
        <family val="2"/>
      </rPr>
      <t xml:space="preserve">: Enter your actual estimated costs of </t>
    </r>
    <r>
      <rPr>
        <b/>
        <i/>
        <sz val="10"/>
        <color indexed="8"/>
        <rFont val="Source Sans Pro"/>
        <family val="2"/>
      </rPr>
      <t xml:space="preserve">all </t>
    </r>
    <r>
      <rPr>
        <sz val="10"/>
        <color indexed="8"/>
        <rFont val="Source Sans Pro"/>
        <family val="2"/>
      </rPr>
      <t>other services (surgical, outpatient hospital, ambulance, etc.)</t>
    </r>
  </si>
  <si>
    <t>Plan Comparison Calculator (In-Network Only)</t>
  </si>
  <si>
    <t>Member 1</t>
  </si>
  <si>
    <t>Member 2</t>
  </si>
  <si>
    <t>Member 3</t>
  </si>
  <si>
    <t>Accumulation Towards Deductible</t>
  </si>
  <si>
    <t>Other Claims</t>
  </si>
  <si>
    <t>Instructions</t>
  </si>
  <si>
    <t xml:space="preserve">c: Enter Plan Details - Copay, Deductible then Coinsurance, and Coinsurance Only, should be the total cost of a single services. </t>
  </si>
  <si>
    <t>Examples:</t>
  </si>
  <si>
    <t xml:space="preserve">If an office visit has a $30 copay, enter $30 under the copay section for office visists. </t>
  </si>
  <si>
    <t xml:space="preserve">If Inpatient Hospital is a $300 copay and $10,000 (subject to deductible), then enter $300 under the copay sections and $10,000 under the Deductible then Coinsurance section. </t>
  </si>
  <si>
    <t>d: Enter tier names (if there are less than 6 tiers, leave additional tiers empty).</t>
  </si>
  <si>
    <t xml:space="preserve">e: Select whether the deductible and out of pocket maximums are embedded or aggregate. </t>
  </si>
  <si>
    <t xml:space="preserve">f: If there is an additional contribution to the plan, select the type of contribution from the drop down menu (HSA or HRA). </t>
  </si>
  <si>
    <t xml:space="preserve">g: Enter the premium, deductible, out of pocket maximum, and additional contribution (if any) for each tier. If the deductible or out of pocket maximums are embedded, fill in the correct embedded value below. </t>
  </si>
  <si>
    <t xml:space="preserve">j: Hide "Data" sheet, then protect "Plan Comparison Calculator" sheet and workbook (Protect Sheet and Protect Workbook are found under the review tab. Record your password). </t>
  </si>
  <si>
    <t>i: If there are less than four plans, hide unused plans on "Plan Comparison Calculator" sheet.</t>
  </si>
  <si>
    <t>Logic Flow</t>
  </si>
  <si>
    <t xml:space="preserve">b: For the total, claims are accumulated until the aggregate deductible is reached. </t>
  </si>
  <si>
    <t>2: Other Claims</t>
  </si>
  <si>
    <t>1: Accumulation Towards Deductible</t>
  </si>
  <si>
    <t>a: For each member, claims (before the deductible) are accumulated until the aggregate deductible is reached.</t>
  </si>
  <si>
    <t xml:space="preserve">a: For each member, copays and claims (after the deductible) accumulate until the out of pocket maximum is reached. </t>
  </si>
  <si>
    <t xml:space="preserve">b: For the total, claims accumulate until the aggregate out of pocket maximum is reached. An adjustment is made for claims accumulated towards the deductible, but over the aggregate deductible. </t>
  </si>
  <si>
    <t>a: Enter Company Name.</t>
  </si>
  <si>
    <t>b: Enter Plan Names.</t>
  </si>
  <si>
    <t>Wellness Surcharge</t>
  </si>
  <si>
    <t>No Wellness</t>
  </si>
  <si>
    <t>Wellness</t>
  </si>
  <si>
    <t xml:space="preserve">h: Select wellness plan if one exists and enter in the monthly contribution into the box. </t>
  </si>
  <si>
    <t>Cost before Coinsurance / Deductible / OOP Max</t>
  </si>
  <si>
    <t>Employee Only</t>
  </si>
  <si>
    <t>Employee + Spouse</t>
  </si>
  <si>
    <t>Employee + Child(ren)</t>
  </si>
  <si>
    <t>Family</t>
  </si>
  <si>
    <t>Employee + Child</t>
  </si>
  <si>
    <t>Employer's additional annual contribution to be used for medical needs</t>
  </si>
  <si>
    <t xml:space="preserve">City of Kent </t>
  </si>
  <si>
    <t xml:space="preserve">Premera 80/20 Plan </t>
  </si>
  <si>
    <t xml:space="preserve">Kaiser Permanente </t>
  </si>
  <si>
    <t>Premera $15 Copay Plan - Closed</t>
  </si>
  <si>
    <t xml:space="preserve">Premera CCP </t>
  </si>
  <si>
    <r>
      <t xml:space="preserve">Most of the costs below are calculated for you. You just need to enter in the highlighted boxes your utilization and allowed charges for "All Other" services not captured in specified categories. Allowed charges are the total charge after carriers's discount is applied but before the deductible, copay or coinsurance. You can obtain this information from your Explanation of Benefits from your carrier or on the carrier website when you log into your account. 
</t>
    </r>
    <r>
      <rPr>
        <b/>
        <sz val="10"/>
        <color rgb="FF000000"/>
        <rFont val="Source Sans Pro"/>
        <family val="2"/>
      </rPr>
      <t xml:space="preserve">PLEASE NOTE: </t>
    </r>
    <r>
      <rPr>
        <sz val="10"/>
        <color rgb="FF000000"/>
        <rFont val="Source Sans Pro"/>
        <family val="2"/>
      </rPr>
      <t xml:space="preserve">For the CCP, contribution level of $1,500 was assumed.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</si>
</sst>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00"/>
    <numFmt numFmtId="165" formatCode="&quot;$&quot;#,##0"/>
  </numFmts>
  <fonts count="30" x14ac:knownFonts="1">
    <font>
      <sz val="11"/>
      <color theme="1"/>
      <name val="Calibri"/>
      <family val="2"/>
      <scheme val="minor"/>
    </font>
    <font>
      <sz val="11"/>
      <color theme="1"/>
      <name val="Calibri"/>
      <family val="2"/>
      <scheme val="minor"/>
    </font>
    <font>
      <b/>
      <sz val="16"/>
      <color theme="3"/>
      <name val="ITC Lubalin Graph Std Book"/>
      <family val="1"/>
    </font>
    <font>
      <b/>
      <sz val="12"/>
      <color indexed="9"/>
      <name val="ITC Lubalin Graph Std Book"/>
      <family val="1"/>
    </font>
    <font>
      <b/>
      <sz val="12"/>
      <color theme="3"/>
      <name val="ITC Lubalin Graph Std Book"/>
      <family val="1"/>
    </font>
    <font>
      <b/>
      <sz val="8"/>
      <color indexed="9"/>
      <name val="ITC Lubalin Graph Std Book"/>
      <family val="1"/>
    </font>
    <font>
      <sz val="10"/>
      <color indexed="8"/>
      <name val="Source Sans Pro"/>
      <family val="2"/>
    </font>
    <font>
      <sz val="10"/>
      <name val="Source Sans Pro"/>
      <family val="2"/>
    </font>
    <font>
      <sz val="10"/>
      <color rgb="FF000000"/>
      <name val="Source Sans Pro"/>
      <family val="2"/>
    </font>
    <font>
      <b/>
      <sz val="10"/>
      <name val="Source Sans Pro"/>
      <family val="2"/>
    </font>
    <font>
      <sz val="10"/>
      <color indexed="9"/>
      <name val="Source Sans Pro"/>
      <family val="2"/>
    </font>
    <font>
      <sz val="10"/>
      <color theme="1"/>
      <name val="Source Sans Pro"/>
      <family val="2"/>
    </font>
    <font>
      <b/>
      <sz val="10"/>
      <color indexed="8"/>
      <name val="Source Sans Pro"/>
      <family val="2"/>
    </font>
    <font>
      <b/>
      <i/>
      <sz val="10"/>
      <color indexed="8"/>
      <name val="Source Sans Pro"/>
      <family val="2"/>
    </font>
    <font>
      <u/>
      <sz val="10"/>
      <name val="Source Sans Pro"/>
      <family val="2"/>
    </font>
    <font>
      <b/>
      <sz val="8"/>
      <color rgb="FF326295"/>
      <name val="Source Sans Pro"/>
      <family val="2"/>
    </font>
    <font>
      <sz val="12"/>
      <name val="Source Sans Pro"/>
      <family val="2"/>
    </font>
    <font>
      <sz val="12"/>
      <color theme="1"/>
      <name val="Source Sans Pro"/>
      <family val="2"/>
    </font>
    <font>
      <b/>
      <sz val="12"/>
      <name val="Source Sans Pro"/>
      <family val="2"/>
    </font>
    <font>
      <sz val="12"/>
      <color indexed="8"/>
      <name val="Source Sans Pro"/>
      <family val="2"/>
    </font>
    <font>
      <sz val="9"/>
      <color theme="1"/>
      <name val="Source Sans Pro"/>
      <family val="2"/>
    </font>
    <font>
      <sz val="9"/>
      <color theme="0"/>
      <name val="Source Sans Pro"/>
      <family val="2"/>
    </font>
    <font>
      <sz val="9"/>
      <color theme="6"/>
      <name val="Source Sans Pro"/>
      <family val="2"/>
    </font>
    <font>
      <sz val="10"/>
      <color theme="0"/>
      <name val="Source Sans Pro"/>
      <family val="2"/>
    </font>
    <font>
      <b/>
      <sz val="12"/>
      <color theme="1"/>
      <name val="Source Sans Pro"/>
      <family val="2"/>
    </font>
    <font>
      <b/>
      <sz val="10"/>
      <color indexed="9"/>
      <name val="ITC Lubalin Graph Std Book"/>
      <family val="1"/>
    </font>
    <font>
      <sz val="8"/>
      <color indexed="9"/>
      <name val="Source Sans Pro"/>
      <family val="2"/>
    </font>
    <font>
      <sz val="9"/>
      <name val="Source Sans Pro"/>
      <family val="2"/>
    </font>
    <font>
      <b/>
      <sz val="9"/>
      <color theme="1"/>
      <name val="Source Sans Pro"/>
      <family val="2"/>
    </font>
    <font>
      <b/>
      <sz val="10"/>
      <color rgb="FF000000"/>
      <name val="Source Sans Pro"/>
      <family val="2"/>
    </font>
  </fonts>
  <fills count="9">
    <fill>
      <patternFill patternType="none"/>
    </fill>
    <fill>
      <patternFill patternType="gray125"/>
    </fill>
    <fill>
      <patternFill patternType="solid">
        <fgColor rgb="FFD9C89E"/>
        <bgColor indexed="24"/>
      </patternFill>
    </fill>
    <fill>
      <patternFill patternType="solid">
        <fgColor rgb="FFD9C89E"/>
        <bgColor indexed="64"/>
      </patternFill>
    </fill>
    <fill>
      <patternFill patternType="solid">
        <fgColor theme="6"/>
        <bgColor indexed="64"/>
      </patternFill>
    </fill>
    <fill>
      <patternFill patternType="solid">
        <fgColor theme="3"/>
        <bgColor indexed="24"/>
      </patternFill>
    </fill>
    <fill>
      <patternFill patternType="solid">
        <fgColor theme="3"/>
        <bgColor indexed="64"/>
      </patternFill>
    </fill>
    <fill>
      <patternFill patternType="solid">
        <fgColor theme="3" tint="0.749992370372631"/>
        <bgColor indexed="64"/>
      </patternFill>
    </fill>
    <fill>
      <patternFill patternType="solid">
        <fgColor rgb="FFA5E6F1"/>
        <bgColor indexed="64"/>
      </patternFill>
    </fill>
  </fills>
  <borders count="43">
    <border>
      <left/>
      <right/>
      <top/>
      <bottom/>
      <diagonal/>
    </border>
    <border>
      <left/>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style="hair">
        <color auto="1"/>
      </right>
      <top style="hair">
        <color auto="1"/>
      </top>
      <bottom style="hair">
        <color auto="1"/>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2">
    <xf numFmtId="0" fontId="0" fillId="0" borderId="0" xfId="0"/>
    <xf numFmtId="8" fontId="3" fillId="5" borderId="3" xfId="0" applyNumberFormat="1"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164" fontId="6" fillId="0" borderId="20" xfId="0" applyNumberFormat="1" applyFont="1" applyBorder="1" applyAlignment="1">
      <alignment horizontal="center" vertical="center" wrapText="1"/>
    </xf>
    <xf numFmtId="164" fontId="6" fillId="0" borderId="21" xfId="0" applyNumberFormat="1" applyFont="1" applyBorder="1" applyAlignment="1">
      <alignment horizontal="center" vertical="center" wrapText="1"/>
    </xf>
    <xf numFmtId="164" fontId="6" fillId="0" borderId="14" xfId="0" applyNumberFormat="1" applyFont="1" applyBorder="1" applyAlignment="1">
      <alignment horizontal="center" vertical="center"/>
    </xf>
    <xf numFmtId="164" fontId="6" fillId="0" borderId="15" xfId="0" applyNumberFormat="1" applyFont="1" applyBorder="1" applyAlignment="1">
      <alignment horizontal="center" vertical="center"/>
    </xf>
    <xf numFmtId="164" fontId="6" fillId="0" borderId="17" xfId="0" applyNumberFormat="1" applyFont="1" applyBorder="1" applyAlignment="1">
      <alignment horizontal="center" vertical="center"/>
    </xf>
    <xf numFmtId="164" fontId="6" fillId="0" borderId="18" xfId="0" applyNumberFormat="1" applyFont="1" applyBorder="1" applyAlignment="1">
      <alignment horizontal="center" vertical="center"/>
    </xf>
    <xf numFmtId="8" fontId="6" fillId="0" borderId="8" xfId="0" applyNumberFormat="1" applyFont="1" applyBorder="1" applyAlignment="1">
      <alignment horizontal="left" vertical="center"/>
    </xf>
    <xf numFmtId="8" fontId="6" fillId="0" borderId="0" xfId="0" applyNumberFormat="1" applyFont="1" applyAlignment="1">
      <alignment horizontal="left" vertical="center"/>
    </xf>
    <xf numFmtId="8" fontId="6" fillId="0" borderId="0" xfId="0" applyNumberFormat="1" applyFont="1" applyAlignment="1">
      <alignment horizontal="center" vertical="center"/>
    </xf>
    <xf numFmtId="164" fontId="6" fillId="0" borderId="0" xfId="0" applyNumberFormat="1" applyFont="1" applyAlignment="1">
      <alignment horizontal="center" vertical="center"/>
    </xf>
    <xf numFmtId="164" fontId="6" fillId="0" borderId="0" xfId="0" applyNumberFormat="1" applyFont="1" applyAlignment="1">
      <alignment vertical="center"/>
    </xf>
    <xf numFmtId="164" fontId="6" fillId="0" borderId="2" xfId="0" applyNumberFormat="1" applyFont="1" applyBorder="1" applyAlignment="1">
      <alignment vertical="center"/>
    </xf>
    <xf numFmtId="8" fontId="9" fillId="0" borderId="8" xfId="0" applyNumberFormat="1" applyFont="1" applyBorder="1" applyAlignment="1">
      <alignment horizontal="left" vertical="center"/>
    </xf>
    <xf numFmtId="8" fontId="10" fillId="0" borderId="0" xfId="0" applyNumberFormat="1" applyFont="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2" xfId="0" applyFont="1" applyBorder="1" applyAlignment="1">
      <alignment horizontal="center" vertical="center"/>
    </xf>
    <xf numFmtId="3" fontId="7" fillId="3" borderId="12" xfId="0" applyNumberFormat="1" applyFont="1" applyFill="1" applyBorder="1" applyAlignment="1" applyProtection="1">
      <alignment horizontal="center" vertical="center"/>
      <protection locked="0"/>
    </xf>
    <xf numFmtId="165" fontId="7" fillId="0" borderId="0" xfId="0" applyNumberFormat="1" applyFont="1" applyAlignment="1">
      <alignment horizontal="center" vertical="center"/>
    </xf>
    <xf numFmtId="165" fontId="7" fillId="0" borderId="2" xfId="0" applyNumberFormat="1" applyFont="1" applyBorder="1" applyAlignment="1">
      <alignment horizontal="center" vertical="center"/>
    </xf>
    <xf numFmtId="0" fontId="7" fillId="0" borderId="8" xfId="0" applyFont="1" applyBorder="1" applyAlignment="1">
      <alignment horizontal="left" vertical="center" wrapText="1"/>
    </xf>
    <xf numFmtId="164" fontId="7" fillId="0" borderId="0" xfId="0" applyNumberFormat="1" applyFont="1" applyAlignment="1">
      <alignment horizontal="center" vertical="center"/>
    </xf>
    <xf numFmtId="0" fontId="9" fillId="0" borderId="8" xfId="0" applyFont="1" applyBorder="1" applyAlignment="1">
      <alignment horizontal="left" vertical="center" wrapText="1"/>
    </xf>
    <xf numFmtId="0" fontId="7" fillId="3" borderId="12" xfId="0" applyFont="1" applyFill="1" applyBorder="1" applyAlignment="1" applyProtection="1">
      <alignment horizontal="center" vertical="center"/>
      <protection locked="0"/>
    </xf>
    <xf numFmtId="0" fontId="7" fillId="0" borderId="0" xfId="0" applyFont="1" applyAlignment="1">
      <alignment horizontal="left" vertical="center" wrapText="1"/>
    </xf>
    <xf numFmtId="164" fontId="7" fillId="0" borderId="0" xfId="0" applyNumberFormat="1" applyFont="1" applyAlignment="1">
      <alignment horizontal="left" vertical="center"/>
    </xf>
    <xf numFmtId="165" fontId="7" fillId="3" borderId="12" xfId="0" applyNumberFormat="1" applyFont="1" applyFill="1" applyBorder="1" applyAlignment="1" applyProtection="1">
      <alignment horizontal="center" vertical="center"/>
      <protection locked="0"/>
    </xf>
    <xf numFmtId="0" fontId="12" fillId="0" borderId="8" xfId="0" applyFont="1" applyBorder="1" applyAlignment="1">
      <alignment horizontal="left" vertical="center"/>
    </xf>
    <xf numFmtId="0" fontId="11" fillId="0" borderId="0" xfId="0" applyFont="1" applyAlignment="1">
      <alignment horizontal="left" vertical="center"/>
    </xf>
    <xf numFmtId="43" fontId="6" fillId="0" borderId="8" xfId="0" applyNumberFormat="1" applyFont="1" applyBorder="1" applyAlignment="1">
      <alignment horizontal="left" vertical="center"/>
    </xf>
    <xf numFmtId="43" fontId="6" fillId="0" borderId="0" xfId="0" applyNumberFormat="1" applyFont="1" applyAlignment="1">
      <alignment horizontal="left" vertical="center"/>
    </xf>
    <xf numFmtId="0" fontId="6" fillId="0" borderId="0" xfId="0" applyFont="1" applyAlignment="1">
      <alignment vertical="center"/>
    </xf>
    <xf numFmtId="164" fontId="7" fillId="0" borderId="2" xfId="0" applyNumberFormat="1" applyFont="1" applyBorder="1" applyAlignment="1">
      <alignment horizontal="center" vertical="center"/>
    </xf>
    <xf numFmtId="164" fontId="14" fillId="0" borderId="0" xfId="0" applyNumberFormat="1" applyFont="1" applyAlignment="1">
      <alignment horizontal="center" vertical="center"/>
    </xf>
    <xf numFmtId="164" fontId="14" fillId="0" borderId="2" xfId="0" applyNumberFormat="1" applyFont="1" applyBorder="1" applyAlignment="1">
      <alignment horizontal="center" vertical="center"/>
    </xf>
    <xf numFmtId="43" fontId="12" fillId="0" borderId="9" xfId="0" applyNumberFormat="1" applyFont="1" applyBorder="1" applyAlignment="1">
      <alignment horizontal="left" vertical="center"/>
    </xf>
    <xf numFmtId="43" fontId="12" fillId="0" borderId="10" xfId="0" applyNumberFormat="1" applyFont="1" applyBorder="1" applyAlignment="1">
      <alignment horizontal="left" vertical="center"/>
    </xf>
    <xf numFmtId="0" fontId="6" fillId="0" borderId="10" xfId="0" applyFont="1" applyBorder="1" applyAlignment="1">
      <alignment vertical="center"/>
    </xf>
    <xf numFmtId="164" fontId="9" fillId="0" borderId="10" xfId="0" applyNumberFormat="1" applyFont="1" applyBorder="1" applyAlignment="1">
      <alignment horizontal="center" vertical="center"/>
    </xf>
    <xf numFmtId="164" fontId="9" fillId="0" borderId="11" xfId="0" applyNumberFormat="1"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center" vertical="center" wrapText="1"/>
    </xf>
    <xf numFmtId="0" fontId="16" fillId="0" borderId="8" xfId="0" applyFont="1" applyBorder="1" applyAlignment="1">
      <alignment vertical="center"/>
    </xf>
    <xf numFmtId="0" fontId="17" fillId="0" borderId="8" xfId="0" applyFont="1" applyBorder="1" applyAlignment="1">
      <alignment vertical="center"/>
    </xf>
    <xf numFmtId="0" fontId="18" fillId="0" borderId="8" xfId="0" applyFont="1" applyBorder="1" applyAlignment="1">
      <alignment horizontal="left" vertical="center" wrapText="1"/>
    </xf>
    <xf numFmtId="8" fontId="16" fillId="0" borderId="8" xfId="0" applyNumberFormat="1" applyFont="1" applyBorder="1" applyAlignment="1">
      <alignment horizontal="center" vertical="center"/>
    </xf>
    <xf numFmtId="164" fontId="16" fillId="0" borderId="0" xfId="0" applyNumberFormat="1" applyFont="1" applyAlignment="1">
      <alignment horizontal="right" vertical="center"/>
    </xf>
    <xf numFmtId="0" fontId="19" fillId="0" borderId="0" xfId="0" applyFont="1" applyAlignment="1">
      <alignment horizontal="left" vertical="center"/>
    </xf>
    <xf numFmtId="0" fontId="19" fillId="0" borderId="0" xfId="0" applyFont="1" applyAlignment="1">
      <alignment vertical="center"/>
    </xf>
    <xf numFmtId="3" fontId="23" fillId="0" borderId="0" xfId="0" applyNumberFormat="1" applyFont="1" applyAlignment="1" applyProtection="1">
      <alignment horizontal="center" vertical="center"/>
      <protection locked="0"/>
    </xf>
    <xf numFmtId="0" fontId="23" fillId="0" borderId="0" xfId="0" applyFont="1" applyAlignment="1" applyProtection="1">
      <alignment horizontal="center" vertical="center"/>
      <protection locked="0"/>
    </xf>
    <xf numFmtId="165" fontId="23" fillId="0" borderId="0" xfId="0" applyNumberFormat="1" applyFont="1" applyAlignment="1" applyProtection="1">
      <alignment horizontal="center" vertical="center"/>
      <protection locked="0"/>
    </xf>
    <xf numFmtId="0" fontId="6" fillId="0" borderId="8" xfId="0" applyFont="1" applyBorder="1" applyAlignment="1">
      <alignment horizontal="left" vertical="center" wrapText="1"/>
    </xf>
    <xf numFmtId="0" fontId="11" fillId="0" borderId="0" xfId="0" applyFont="1" applyAlignment="1">
      <alignment horizontal="left" vertical="center" wrapText="1"/>
    </xf>
    <xf numFmtId="0" fontId="20" fillId="0" borderId="0" xfId="0" applyFont="1" applyAlignment="1">
      <alignment vertical="center"/>
    </xf>
    <xf numFmtId="0" fontId="20" fillId="0" borderId="0" xfId="0" applyFont="1" applyAlignment="1">
      <alignment horizontal="right" vertical="center"/>
    </xf>
    <xf numFmtId="0" fontId="21" fillId="6" borderId="3"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21" fillId="6" borderId="5" xfId="0" applyFont="1" applyFill="1" applyBorder="1" applyAlignment="1">
      <alignment horizontal="center" vertical="center" wrapText="1"/>
    </xf>
    <xf numFmtId="0" fontId="20" fillId="0" borderId="32" xfId="0" applyFont="1" applyBorder="1" applyAlignment="1">
      <alignment horizontal="right" vertical="center"/>
    </xf>
    <xf numFmtId="3" fontId="20" fillId="0" borderId="0" xfId="0" applyNumberFormat="1" applyFont="1" applyAlignment="1">
      <alignment vertical="center"/>
    </xf>
    <xf numFmtId="0" fontId="20" fillId="0" borderId="33" xfId="0" applyFont="1" applyBorder="1" applyAlignment="1">
      <alignment horizontal="right" vertical="center"/>
    </xf>
    <xf numFmtId="9" fontId="20" fillId="4" borderId="26" xfId="2" applyFont="1" applyFill="1" applyBorder="1" applyAlignment="1" applyProtection="1">
      <alignment horizontal="center" vertical="center"/>
    </xf>
    <xf numFmtId="164" fontId="22" fillId="4" borderId="28" xfId="0" applyNumberFormat="1" applyFont="1" applyFill="1" applyBorder="1" applyAlignment="1">
      <alignment horizontal="center" vertical="center"/>
    </xf>
    <xf numFmtId="164" fontId="22" fillId="4" borderId="27" xfId="0" applyNumberFormat="1" applyFont="1" applyFill="1" applyBorder="1" applyAlignment="1">
      <alignment horizontal="center" vertical="center"/>
    </xf>
    <xf numFmtId="9" fontId="22" fillId="4" borderId="26" xfId="2" applyFont="1" applyFill="1" applyBorder="1" applyAlignment="1" applyProtection="1">
      <alignment horizontal="center" vertical="center"/>
    </xf>
    <xf numFmtId="44" fontId="20" fillId="0" borderId="0" xfId="1" applyFont="1" applyAlignment="1" applyProtection="1">
      <alignment vertical="center"/>
    </xf>
    <xf numFmtId="0" fontId="20" fillId="0" borderId="34" xfId="0" applyFont="1" applyBorder="1" applyAlignment="1">
      <alignment horizontal="right" vertical="center"/>
    </xf>
    <xf numFmtId="0" fontId="20" fillId="4" borderId="23" xfId="0" applyFont="1" applyFill="1" applyBorder="1" applyAlignment="1">
      <alignment horizontal="center" vertical="center"/>
    </xf>
    <xf numFmtId="0" fontId="20" fillId="0" borderId="39" xfId="0" applyFont="1" applyBorder="1" applyAlignment="1">
      <alignment horizontal="right" vertical="center"/>
    </xf>
    <xf numFmtId="164" fontId="20" fillId="4" borderId="40" xfId="0" applyNumberFormat="1" applyFont="1" applyFill="1" applyBorder="1" applyAlignment="1">
      <alignment horizontal="center" vertical="center"/>
    </xf>
    <xf numFmtId="164" fontId="20" fillId="4" borderId="42" xfId="0" applyNumberFormat="1" applyFont="1" applyFill="1" applyBorder="1" applyAlignment="1">
      <alignment horizontal="center" vertical="center"/>
    </xf>
    <xf numFmtId="0" fontId="20" fillId="0" borderId="0" xfId="0" applyFont="1" applyAlignment="1">
      <alignment horizontal="center" vertical="center"/>
    </xf>
    <xf numFmtId="164" fontId="20" fillId="0" borderId="0" xfId="0" applyNumberFormat="1" applyFont="1" applyAlignment="1">
      <alignment vertical="center"/>
    </xf>
    <xf numFmtId="164" fontId="20" fillId="0" borderId="0" xfId="1" applyNumberFormat="1" applyFont="1" applyAlignment="1" applyProtection="1">
      <alignment horizontal="center" vertical="center"/>
    </xf>
    <xf numFmtId="164" fontId="20" fillId="0" borderId="0" xfId="1" applyNumberFormat="1" applyFont="1" applyFill="1" applyAlignment="1" applyProtection="1">
      <alignment horizontal="center" vertical="center"/>
    </xf>
    <xf numFmtId="164" fontId="21" fillId="6" borderId="0" xfId="1" applyNumberFormat="1" applyFont="1" applyFill="1" applyAlignment="1" applyProtection="1">
      <alignment horizontal="center" vertical="center"/>
    </xf>
    <xf numFmtId="165" fontId="20" fillId="0" borderId="0" xfId="0" applyNumberFormat="1" applyFont="1" applyAlignment="1">
      <alignment horizontal="left" vertical="center"/>
    </xf>
    <xf numFmtId="165" fontId="20" fillId="0" borderId="0" xfId="0" applyNumberFormat="1" applyFont="1" applyAlignment="1">
      <alignment horizontal="center" vertical="center"/>
    </xf>
    <xf numFmtId="165" fontId="20" fillId="0" borderId="0" xfId="0" applyNumberFormat="1" applyFont="1" applyAlignment="1">
      <alignment horizontal="left" vertical="center" indent="1"/>
    </xf>
    <xf numFmtId="165" fontId="20" fillId="0" borderId="0" xfId="0" applyNumberFormat="1" applyFont="1" applyAlignment="1">
      <alignment horizontal="left" vertical="center" indent="2"/>
    </xf>
    <xf numFmtId="0" fontId="20" fillId="0" borderId="0" xfId="0" applyFont="1" applyAlignment="1">
      <alignment horizontal="left" vertical="center"/>
    </xf>
    <xf numFmtId="0" fontId="20" fillId="7" borderId="22" xfId="0" applyFont="1" applyFill="1" applyBorder="1" applyAlignment="1" applyProtection="1">
      <alignment horizontal="center" vertical="center"/>
      <protection locked="0"/>
    </xf>
    <xf numFmtId="164" fontId="20" fillId="7" borderId="31" xfId="0" applyNumberFormat="1" applyFont="1" applyFill="1" applyBorder="1" applyAlignment="1" applyProtection="1">
      <alignment horizontal="center" vertical="center"/>
      <protection locked="0"/>
    </xf>
    <xf numFmtId="164" fontId="20" fillId="7" borderId="30" xfId="0" applyNumberFormat="1" applyFont="1" applyFill="1" applyBorder="1" applyAlignment="1" applyProtection="1">
      <alignment horizontal="center" vertical="center"/>
      <protection locked="0"/>
    </xf>
    <xf numFmtId="9" fontId="20" fillId="7" borderId="29" xfId="2" applyFont="1" applyFill="1" applyBorder="1" applyAlignment="1" applyProtection="1">
      <alignment horizontal="center" vertical="center"/>
      <protection locked="0"/>
    </xf>
    <xf numFmtId="164" fontId="20" fillId="7" borderId="28" xfId="0" applyNumberFormat="1" applyFont="1" applyFill="1" applyBorder="1" applyAlignment="1" applyProtection="1">
      <alignment horizontal="center" vertical="center"/>
      <protection locked="0"/>
    </xf>
    <xf numFmtId="164" fontId="20" fillId="7" borderId="27" xfId="0" applyNumberFormat="1" applyFont="1" applyFill="1" applyBorder="1" applyAlignment="1" applyProtection="1">
      <alignment horizontal="center" vertical="center"/>
      <protection locked="0"/>
    </xf>
    <xf numFmtId="0" fontId="20" fillId="7" borderId="24" xfId="0" applyFont="1" applyFill="1" applyBorder="1" applyAlignment="1" applyProtection="1">
      <alignment horizontal="center" vertical="center"/>
      <protection locked="0"/>
    </xf>
    <xf numFmtId="0" fontId="20" fillId="7" borderId="25" xfId="0" applyFont="1" applyFill="1" applyBorder="1" applyAlignment="1" applyProtection="1">
      <alignment horizontal="center" vertical="center"/>
      <protection locked="0"/>
    </xf>
    <xf numFmtId="164" fontId="20" fillId="7" borderId="26" xfId="0" applyNumberFormat="1" applyFont="1" applyFill="1" applyBorder="1" applyAlignment="1" applyProtection="1">
      <alignment horizontal="center" vertical="center"/>
      <protection locked="0"/>
    </xf>
    <xf numFmtId="164" fontId="20" fillId="7" borderId="36" xfId="0" applyNumberFormat="1" applyFont="1" applyFill="1" applyBorder="1" applyAlignment="1" applyProtection="1">
      <alignment horizontal="center" vertical="center"/>
      <protection locked="0"/>
    </xf>
    <xf numFmtId="164" fontId="20" fillId="7" borderId="37" xfId="0" applyNumberFormat="1" applyFont="1" applyFill="1" applyBorder="1" applyAlignment="1" applyProtection="1">
      <alignment horizontal="center" vertical="center"/>
      <protection locked="0"/>
    </xf>
    <xf numFmtId="164" fontId="20" fillId="7" borderId="38" xfId="0" applyNumberFormat="1" applyFont="1" applyFill="1" applyBorder="1" applyAlignment="1" applyProtection="1">
      <alignment horizontal="center" vertical="center"/>
      <protection locked="0"/>
    </xf>
    <xf numFmtId="164" fontId="20" fillId="7" borderId="41" xfId="0" applyNumberFormat="1" applyFont="1" applyFill="1" applyBorder="1" applyAlignment="1" applyProtection="1">
      <alignment horizontal="center" vertical="center"/>
      <protection locked="0"/>
    </xf>
    <xf numFmtId="0" fontId="20" fillId="7" borderId="33" xfId="0" applyFont="1" applyFill="1" applyBorder="1" applyAlignment="1" applyProtection="1">
      <alignment horizontal="right" vertical="center"/>
      <protection locked="0"/>
    </xf>
    <xf numFmtId="0" fontId="20" fillId="7" borderId="35" xfId="0" applyFont="1" applyFill="1" applyBorder="1" applyAlignment="1" applyProtection="1">
      <alignment horizontal="right" vertical="center"/>
      <protection locked="0"/>
    </xf>
    <xf numFmtId="0" fontId="17" fillId="0" borderId="0" xfId="0" applyFont="1"/>
    <xf numFmtId="3" fontId="7" fillId="0" borderId="0" xfId="0" applyNumberFormat="1" applyFont="1" applyAlignment="1">
      <alignment horizontal="center" vertical="center"/>
    </xf>
    <xf numFmtId="0" fontId="24" fillId="0" borderId="0" xfId="0" applyFont="1" applyAlignment="1">
      <alignment vertical="center"/>
    </xf>
    <xf numFmtId="0" fontId="20" fillId="8" borderId="22" xfId="0" applyFont="1" applyFill="1" applyBorder="1" applyAlignment="1" applyProtection="1">
      <alignment horizontal="center" vertical="center"/>
      <protection locked="0"/>
    </xf>
    <xf numFmtId="0" fontId="20" fillId="8" borderId="0" xfId="0" applyFont="1" applyFill="1" applyAlignment="1">
      <alignment horizontal="right" vertical="center"/>
    </xf>
    <xf numFmtId="0" fontId="25" fillId="5" borderId="1" xfId="0" applyFont="1" applyFill="1" applyBorder="1" applyAlignment="1">
      <alignment horizontal="center" vertical="center" wrapText="1"/>
    </xf>
    <xf numFmtId="0" fontId="25" fillId="5" borderId="7" xfId="0" applyFont="1" applyFill="1" applyBorder="1" applyAlignment="1">
      <alignment horizontal="center" vertical="center" wrapText="1"/>
    </xf>
    <xf numFmtId="0" fontId="26" fillId="5" borderId="10" xfId="0" applyFont="1" applyFill="1" applyBorder="1" applyAlignment="1">
      <alignment horizontal="center" vertical="center" wrapText="1"/>
    </xf>
    <xf numFmtId="164" fontId="27" fillId="7" borderId="41" xfId="0" applyNumberFormat="1" applyFont="1" applyFill="1" applyBorder="1" applyAlignment="1" applyProtection="1">
      <alignment horizontal="center" vertical="center"/>
      <protection locked="0"/>
    </xf>
    <xf numFmtId="0" fontId="27" fillId="7" borderId="24" xfId="0" applyFont="1" applyFill="1" applyBorder="1" applyAlignment="1" applyProtection="1">
      <alignment horizontal="center" vertical="center"/>
      <protection locked="0"/>
    </xf>
    <xf numFmtId="0" fontId="28" fillId="0" borderId="0" xfId="0" applyFont="1" applyAlignment="1">
      <alignment horizontal="left" vertical="center"/>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Alignment="1">
      <alignment horizontal="left" vertical="center" wrapText="1"/>
    </xf>
    <xf numFmtId="0" fontId="11" fillId="0" borderId="0" xfId="0" applyFont="1" applyAlignment="1">
      <alignment horizontal="left" vertical="center" wrapText="1"/>
    </xf>
    <xf numFmtId="0" fontId="26" fillId="5" borderId="10" xfId="0" applyFont="1" applyFill="1" applyBorder="1" applyAlignment="1">
      <alignment horizontal="center" vertical="center" wrapText="1"/>
    </xf>
    <xf numFmtId="0" fontId="26" fillId="5" borderId="11" xfId="0" applyFont="1" applyFill="1" applyBorder="1" applyAlignment="1">
      <alignment horizontal="center" vertical="center" wrapText="1"/>
    </xf>
    <xf numFmtId="8" fontId="3" fillId="5" borderId="3" xfId="0" applyNumberFormat="1" applyFont="1" applyFill="1" applyBorder="1" applyAlignment="1">
      <alignment horizontal="left" vertical="center" wrapText="1"/>
    </xf>
    <xf numFmtId="8" fontId="3" fillId="5" borderId="4" xfId="0" applyNumberFormat="1" applyFont="1" applyFill="1" applyBorder="1" applyAlignment="1">
      <alignment horizontal="left" vertical="center" wrapText="1"/>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8" fontId="6" fillId="0" borderId="19" xfId="0" applyNumberFormat="1" applyFont="1" applyBorder="1" applyAlignment="1">
      <alignment horizontal="left" vertical="center" wrapText="1"/>
    </xf>
    <xf numFmtId="8" fontId="6" fillId="0" borderId="20" xfId="0" applyNumberFormat="1" applyFont="1" applyBorder="1" applyAlignment="1">
      <alignment horizontal="left" vertical="center" wrapText="1"/>
    </xf>
    <xf numFmtId="8" fontId="6" fillId="0" borderId="13" xfId="0" applyNumberFormat="1" applyFont="1" applyBorder="1" applyAlignment="1">
      <alignment horizontal="left" vertical="center"/>
    </xf>
    <xf numFmtId="8" fontId="6" fillId="0" borderId="14" xfId="0" applyNumberFormat="1" applyFont="1" applyBorder="1" applyAlignment="1">
      <alignment horizontal="left" vertical="center"/>
    </xf>
    <xf numFmtId="8" fontId="7" fillId="0" borderId="16" xfId="0" applyNumberFormat="1" applyFont="1" applyBorder="1" applyAlignment="1">
      <alignment horizontal="left" vertical="center"/>
    </xf>
    <xf numFmtId="8" fontId="7" fillId="0" borderId="17" xfId="0" applyNumberFormat="1" applyFont="1" applyBorder="1" applyAlignment="1">
      <alignment horizontal="left" vertical="center"/>
    </xf>
    <xf numFmtId="8" fontId="4" fillId="2" borderId="3" xfId="0" applyNumberFormat="1" applyFont="1" applyFill="1" applyBorder="1" applyAlignment="1" applyProtection="1">
      <alignment horizontal="center" vertical="center" wrapText="1"/>
      <protection locked="0"/>
    </xf>
    <xf numFmtId="8" fontId="4" fillId="2" borderId="5" xfId="0" applyNumberFormat="1" applyFont="1" applyFill="1" applyBorder="1" applyAlignment="1" applyProtection="1">
      <alignment horizontal="center" vertical="center" wrapText="1"/>
      <protection locked="0"/>
    </xf>
    <xf numFmtId="8" fontId="3" fillId="5" borderId="6" xfId="0" applyNumberFormat="1" applyFont="1" applyFill="1" applyBorder="1" applyAlignment="1">
      <alignment horizontal="center" vertical="center"/>
    </xf>
    <xf numFmtId="8" fontId="3" fillId="5" borderId="1" xfId="0" applyNumberFormat="1" applyFont="1" applyFill="1" applyBorder="1" applyAlignment="1">
      <alignment horizontal="center" vertical="center"/>
    </xf>
    <xf numFmtId="8" fontId="3" fillId="5" borderId="9" xfId="0" applyNumberFormat="1" applyFont="1" applyFill="1" applyBorder="1" applyAlignment="1">
      <alignment horizontal="center" vertical="center"/>
    </xf>
    <xf numFmtId="8" fontId="3" fillId="5" borderId="10" xfId="0" applyNumberFormat="1" applyFont="1" applyFill="1" applyBorder="1" applyAlignment="1">
      <alignment horizontal="center" vertical="center"/>
    </xf>
    <xf numFmtId="8" fontId="3" fillId="5" borderId="1" xfId="0" applyNumberFormat="1" applyFont="1" applyFill="1" applyBorder="1" applyAlignment="1">
      <alignment horizontal="center" vertical="center" wrapText="1"/>
    </xf>
    <xf numFmtId="8" fontId="4" fillId="2" borderId="4" xfId="0" applyNumberFormat="1" applyFont="1" applyFill="1" applyBorder="1" applyAlignment="1" applyProtection="1">
      <alignment horizontal="center" vertical="center" wrapText="1"/>
      <protection locked="0"/>
    </xf>
    <xf numFmtId="0" fontId="20" fillId="7" borderId="6" xfId="0" applyFont="1" applyFill="1" applyBorder="1" applyAlignment="1" applyProtection="1">
      <alignment horizontal="center" vertical="center"/>
      <protection locked="0"/>
    </xf>
    <xf numFmtId="0" fontId="20" fillId="7" borderId="1" xfId="0" applyFont="1" applyFill="1" applyBorder="1" applyAlignment="1" applyProtection="1">
      <alignment horizontal="center" vertical="center"/>
      <protection locked="0"/>
    </xf>
    <xf numFmtId="0" fontId="20" fillId="7" borderId="7" xfId="0" applyFont="1" applyFill="1" applyBorder="1" applyAlignment="1" applyProtection="1">
      <alignment horizontal="center" vertical="center"/>
      <protection locked="0"/>
    </xf>
    <xf numFmtId="164" fontId="21" fillId="6" borderId="3" xfId="1" applyNumberFormat="1" applyFont="1" applyFill="1" applyBorder="1" applyAlignment="1" applyProtection="1">
      <alignment horizontal="center" vertical="center"/>
    </xf>
    <xf numFmtId="164" fontId="21" fillId="6" borderId="4" xfId="1" applyNumberFormat="1" applyFont="1" applyFill="1" applyBorder="1" applyAlignment="1" applyProtection="1">
      <alignment horizontal="center" vertical="center"/>
    </xf>
    <xf numFmtId="164" fontId="21" fillId="6" borderId="5" xfId="1" applyNumberFormat="1" applyFont="1" applyFill="1" applyBorder="1" applyAlignment="1" applyProtection="1">
      <alignment horizontal="center" vertical="center"/>
    </xf>
  </cellXfs>
  <cellStyles count="3">
    <cellStyle name="Currency" xfId="1" builtinId="4"/>
    <cellStyle name="Normal" xfId="0" builtinId="0"/>
    <cellStyle name="Percent" xfId="2" builtinId="5"/>
  </cellStyles>
  <dxfs count="7">
    <dxf>
      <font>
        <color theme="6"/>
      </font>
      <fill>
        <patternFill>
          <bgColor theme="6"/>
        </patternFill>
      </fill>
    </dxf>
    <dxf>
      <font>
        <color theme="6"/>
      </font>
      <fill>
        <patternFill>
          <bgColor theme="6"/>
        </patternFill>
      </fill>
    </dxf>
    <dxf>
      <font>
        <color theme="6"/>
      </font>
      <fill>
        <patternFill>
          <bgColor theme="6"/>
        </patternFill>
      </fill>
    </dxf>
    <dxf>
      <font>
        <color theme="6"/>
      </font>
      <fill>
        <patternFill>
          <bgColor theme="6"/>
        </patternFill>
      </fill>
    </dxf>
    <dxf>
      <font>
        <color theme="3"/>
      </font>
      <fill>
        <patternFill>
          <bgColor theme="3"/>
        </patternFill>
      </fill>
      <border>
        <right/>
      </border>
    </dxf>
    <dxf>
      <font>
        <color theme="1"/>
      </font>
      <fill>
        <patternFill>
          <bgColor rgb="FFD9C89E"/>
        </patternFill>
      </fill>
      <border>
        <left style="hair">
          <color auto="1"/>
        </left>
        <right style="hair">
          <color auto="1"/>
        </right>
        <top style="hair">
          <color auto="1"/>
        </top>
        <bottom style="hair">
          <color auto="1"/>
        </bottom>
        <vertical/>
        <horizontal/>
      </border>
    </dxf>
    <dxf>
      <font>
        <color theme="1"/>
      </font>
      <fill>
        <patternFill>
          <bgColor rgb="FFD9C89E"/>
        </patternFill>
      </fill>
      <border>
        <left style="hair">
          <color auto="1"/>
        </left>
        <right style="hair">
          <color auto="1"/>
        </right>
        <top style="hair">
          <color auto="1"/>
        </top>
        <bottom style="hair">
          <color auto="1"/>
        </bottom>
        <vertical/>
        <horizontal/>
      </border>
    </dxf>
  </dxfs>
  <tableStyles count="0" defaultTableStyle="TableStyleMedium9" defaultPivotStyle="PivotStyleLight16"/>
  <colors>
    <mruColors>
      <color rgb="FFA5E6F1"/>
      <color rgb="FFD9C89E"/>
      <color rgb="FFFFCC99"/>
      <color rgb="FF326295"/>
      <color rgb="FFFFFF99"/>
      <color rgb="FFDAAA00"/>
      <color rgb="FF7A99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Alliant">
      <a:dk1>
        <a:sysClr val="windowText" lastClr="000000"/>
      </a:dk1>
      <a:lt1>
        <a:sysClr val="window" lastClr="FFFFFF"/>
      </a:lt1>
      <a:dk2>
        <a:srgbClr val="0C4751"/>
      </a:dk2>
      <a:lt2>
        <a:srgbClr val="47C5CA"/>
      </a:lt2>
      <a:accent1>
        <a:srgbClr val="BBD531"/>
      </a:accent1>
      <a:accent2>
        <a:srgbClr val="32CD32"/>
      </a:accent2>
      <a:accent3>
        <a:srgbClr val="555555"/>
      </a:accent3>
      <a:accent4>
        <a:srgbClr val="EF5A00"/>
      </a:accent4>
      <a:accent5>
        <a:srgbClr val="EB8300"/>
      </a:accent5>
      <a:accent6>
        <a:srgbClr val="3D7E7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45"/>
  <sheetViews>
    <sheetView showGridLines="0" tabSelected="1" topLeftCell="A3" zoomScaleNormal="100" zoomScaleSheetLayoutView="115" workbookViewId="0">
      <selection activeCell="C4" sqref="C4:D4"/>
    </sheetView>
  </sheetViews>
  <sheetFormatPr defaultColWidth="0" defaultRowHeight="15.75" zeroHeight="1" x14ac:dyDescent="0.25"/>
  <cols>
    <col min="1" max="1" width="1.42578125" style="46" customWidth="1"/>
    <col min="2" max="2" width="42.85546875" style="53" customWidth="1"/>
    <col min="3" max="4" width="12.85546875" style="53" customWidth="1"/>
    <col min="5" max="7" width="8.5703125" style="54" customWidth="1"/>
    <col min="8" max="8" width="14.42578125" style="54" customWidth="1"/>
    <col min="9" max="9" width="15.42578125" style="54" customWidth="1"/>
    <col min="10" max="10" width="16.42578125" style="54" customWidth="1"/>
    <col min="11" max="11" width="17" style="54" customWidth="1"/>
    <col min="12" max="12" width="1.42578125" style="45" customWidth="1"/>
    <col min="13" max="23" width="9.140625" style="45" hidden="1" customWidth="1"/>
    <col min="24" max="26" width="9.140625" style="46" hidden="1" customWidth="1"/>
    <col min="27" max="51" width="0" style="46" hidden="1" customWidth="1"/>
    <col min="52" max="16384" width="9.140625" style="46" hidden="1"/>
  </cols>
  <sheetData>
    <row r="1" spans="2:51" ht="7.5" customHeight="1" thickBot="1" x14ac:dyDescent="0.3"/>
    <row r="2" spans="2:51" ht="30" customHeight="1" x14ac:dyDescent="0.25">
      <c r="B2" s="126" t="str">
        <f>Data!A1</f>
        <v xml:space="preserve">City of Kent </v>
      </c>
      <c r="C2" s="127"/>
      <c r="D2" s="127"/>
      <c r="E2" s="127"/>
      <c r="F2" s="127"/>
      <c r="G2" s="127"/>
      <c r="H2" s="127"/>
      <c r="I2" s="127"/>
      <c r="J2" s="127"/>
      <c r="K2" s="128"/>
      <c r="L2" s="44"/>
      <c r="AG2" s="103"/>
      <c r="AH2" s="103"/>
      <c r="AI2" s="103"/>
      <c r="AJ2" s="47"/>
    </row>
    <row r="3" spans="2:51" ht="30" customHeight="1" thickBot="1" x14ac:dyDescent="0.3">
      <c r="B3" s="129" t="s">
        <v>47</v>
      </c>
      <c r="C3" s="130"/>
      <c r="D3" s="130"/>
      <c r="E3" s="130"/>
      <c r="F3" s="130"/>
      <c r="G3" s="130"/>
      <c r="H3" s="130"/>
      <c r="I3" s="130"/>
      <c r="J3" s="130"/>
      <c r="K3" s="131"/>
      <c r="L3" s="44"/>
      <c r="AG3" s="103"/>
      <c r="AH3" s="103"/>
      <c r="AI3" s="103"/>
      <c r="AJ3" s="47"/>
    </row>
    <row r="4" spans="2:51" ht="56.25" customHeight="1" thickBot="1" x14ac:dyDescent="0.3">
      <c r="B4" s="1" t="s">
        <v>5</v>
      </c>
      <c r="C4" s="138" t="s">
        <v>78</v>
      </c>
      <c r="D4" s="139"/>
      <c r="E4" s="138" t="s">
        <v>75</v>
      </c>
      <c r="F4" s="145"/>
      <c r="G4" s="139"/>
      <c r="H4" s="2" t="str">
        <f>Data!$B$1</f>
        <v xml:space="preserve">Premera CCP </v>
      </c>
      <c r="I4" s="2" t="str">
        <f>Data!$F$1</f>
        <v xml:space="preserve">Premera 80/20 Plan </v>
      </c>
      <c r="J4" s="2" t="str">
        <f>Data!$J$1</f>
        <v xml:space="preserve">Kaiser Permanente </v>
      </c>
      <c r="K4" s="3" t="str">
        <f>Data!$N$1</f>
        <v>Premera $15 Copay Plan - Closed</v>
      </c>
      <c r="L4" s="48"/>
      <c r="AG4" s="103"/>
      <c r="AH4" s="103"/>
      <c r="AI4" s="103"/>
      <c r="AJ4" s="47"/>
      <c r="AU4" s="47"/>
      <c r="AV4" s="47"/>
      <c r="AW4" s="47"/>
      <c r="AX4" s="47"/>
      <c r="AY4" s="47"/>
    </row>
    <row r="5" spans="2:51" ht="18.75" customHeight="1" x14ac:dyDescent="0.25">
      <c r="B5" s="132" t="str">
        <f>CONCATENATE(C4," Monthly Premium")</f>
        <v>Employee Only Monthly Premium</v>
      </c>
      <c r="C5" s="133"/>
      <c r="D5" s="133"/>
      <c r="E5" s="133"/>
      <c r="F5" s="133"/>
      <c r="G5" s="133"/>
      <c r="H5" s="4">
        <f>INDEX(Data!B14:E19,MATCH(C4,Data!A14:A19,0),MATCH(Data!B12,Data!B12:E12,0))</f>
        <v>0</v>
      </c>
      <c r="I5" s="4">
        <f>INDEX(Data!F14:I19,MATCH(C4,Data!A14:A19,0),MATCH(Data!F12,Data!F12:I12,0))</f>
        <v>0</v>
      </c>
      <c r="J5" s="4">
        <f>INDEX(Data!J14:M19,MATCH(C4,Data!A14:A19,0),MATCH(Data!J12,Data!J12:M12,0))</f>
        <v>61</v>
      </c>
      <c r="K5" s="5">
        <f>INDEX(Data!N14:Q19,MATCH(C4,Data!A14:A19,0),MATCH(Data!N12,Data!N12:Q12,0))</f>
        <v>57</v>
      </c>
      <c r="L5" s="48"/>
      <c r="AG5" s="103"/>
      <c r="AH5" s="103"/>
      <c r="AI5" s="103"/>
      <c r="AJ5" s="47"/>
      <c r="AU5" s="47"/>
      <c r="AV5" s="47"/>
      <c r="AW5" s="47"/>
      <c r="AX5" s="47"/>
      <c r="AY5" s="47"/>
    </row>
    <row r="6" spans="2:51" ht="18.75" customHeight="1" x14ac:dyDescent="0.25">
      <c r="B6" s="134" t="str">
        <f>CONCATENATE("Deductible for ",C4)</f>
        <v>Deductible for Employee Only</v>
      </c>
      <c r="C6" s="135"/>
      <c r="D6" s="135"/>
      <c r="E6" s="135"/>
      <c r="F6" s="135"/>
      <c r="G6" s="135"/>
      <c r="H6" s="6">
        <f>INDEX(Data!B14:E19,MATCH(C4,Data!A14:A19,0),MATCH(Data!C12,Data!B12:E12,0))</f>
        <v>2000</v>
      </c>
      <c r="I6" s="6">
        <f>INDEX(Data!F14:I19,MATCH(C4,Data!A14:A19,0),MATCH(Data!G12,Data!F12:I12,0))</f>
        <v>200</v>
      </c>
      <c r="J6" s="6">
        <f>INDEX(Data!J14:M19,MATCH(C4,Data!A14:A19,0),MATCH(Data!K12,Data!J12:M12,0))</f>
        <v>0</v>
      </c>
      <c r="K6" s="7">
        <f>INDEX(Data!N14:Q19,MATCH(C4,Data!A14:A19,0),MATCH(Data!O12,Data!N12:Q12,0))</f>
        <v>0</v>
      </c>
      <c r="L6" s="48"/>
      <c r="AG6" s="103"/>
      <c r="AH6" s="103"/>
      <c r="AI6" s="103"/>
      <c r="AJ6" s="47"/>
      <c r="AU6" s="47"/>
      <c r="AV6" s="47"/>
      <c r="AW6" s="47"/>
      <c r="AX6" s="47"/>
      <c r="AY6" s="47"/>
    </row>
    <row r="7" spans="2:51" ht="18.75" customHeight="1" thickBot="1" x14ac:dyDescent="0.3">
      <c r="B7" s="136" t="str">
        <f>CONCATENATE("Out of Pocket Maximum for ",C4)</f>
        <v>Out of Pocket Maximum for Employee Only</v>
      </c>
      <c r="C7" s="137"/>
      <c r="D7" s="137"/>
      <c r="E7" s="137"/>
      <c r="F7" s="137"/>
      <c r="G7" s="137"/>
      <c r="H7" s="8">
        <f>INDEX(Data!B14:E19,MATCH(C4,Data!A14:A19,0),MATCH(Data!D12,Data!B12:E12,0))</f>
        <v>2000</v>
      </c>
      <c r="I7" s="8">
        <f>INDEX(Data!F14:I19,MATCH(C4,Data!A14:A19,0),MATCH(Data!H12,Data!F12:I12,0))</f>
        <v>1200</v>
      </c>
      <c r="J7" s="8">
        <f>INDEX(Data!J14:M19,MATCH(C4,Data!A14:A19,0),MATCH(Data!L12,Data!J12:M12,0))</f>
        <v>2000</v>
      </c>
      <c r="K7" s="9">
        <f>INDEX(Data!N14:Q19,MATCH(C4,Data!A14:A19,0),MATCH(Data!P12,Data!N12:Q12,0))</f>
        <v>6350</v>
      </c>
      <c r="L7" s="48"/>
      <c r="AG7" s="103"/>
      <c r="AH7" s="103"/>
      <c r="AI7" s="103"/>
      <c r="AJ7" s="47"/>
      <c r="AU7" s="47"/>
      <c r="AV7" s="47"/>
      <c r="AW7" s="47"/>
      <c r="AX7" s="47"/>
      <c r="AY7" s="47"/>
    </row>
    <row r="8" spans="2:51" ht="15" customHeight="1" thickBot="1" x14ac:dyDescent="0.3">
      <c r="B8" s="10"/>
      <c r="C8" s="11"/>
      <c r="D8" s="11"/>
      <c r="E8" s="12"/>
      <c r="F8" s="12"/>
      <c r="G8" s="13"/>
      <c r="H8" s="13"/>
      <c r="I8" s="13"/>
      <c r="J8" s="14"/>
      <c r="K8" s="15"/>
      <c r="L8" s="48"/>
      <c r="AG8" s="103"/>
      <c r="AH8" s="103"/>
      <c r="AI8" s="103"/>
      <c r="AJ8" s="47"/>
      <c r="AU8" s="47"/>
      <c r="AV8" s="47"/>
      <c r="AW8" s="47"/>
      <c r="AX8" s="47"/>
      <c r="AY8" s="47"/>
    </row>
    <row r="9" spans="2:51" ht="60" customHeight="1" thickBot="1" x14ac:dyDescent="0.3">
      <c r="B9" s="116" t="s">
        <v>89</v>
      </c>
      <c r="C9" s="117"/>
      <c r="D9" s="117"/>
      <c r="E9" s="117"/>
      <c r="F9" s="117"/>
      <c r="G9" s="117"/>
      <c r="H9" s="117"/>
      <c r="I9" s="117"/>
      <c r="J9" s="117"/>
      <c r="K9" s="118"/>
      <c r="L9" s="48"/>
      <c r="AG9" s="103"/>
      <c r="AH9" s="103"/>
      <c r="AI9" s="103"/>
      <c r="AJ9" s="47"/>
      <c r="AU9" s="47"/>
      <c r="AV9" s="47"/>
      <c r="AW9" s="47"/>
      <c r="AX9" s="47"/>
      <c r="AY9" s="47"/>
    </row>
    <row r="10" spans="2:51" ht="41.25" customHeight="1" x14ac:dyDescent="0.25">
      <c r="B10" s="140" t="str">
        <f>CONCATENATE(C4," Utilization")</f>
        <v>Employee Only Utilization</v>
      </c>
      <c r="C10" s="141"/>
      <c r="D10" s="141"/>
      <c r="E10" s="144" t="s">
        <v>43</v>
      </c>
      <c r="F10" s="144"/>
      <c r="G10" s="144"/>
      <c r="H10" s="108" t="str">
        <f t="shared" ref="H10:K10" si="0">H4</f>
        <v xml:space="preserve">Premera CCP </v>
      </c>
      <c r="I10" s="108" t="str">
        <f t="shared" si="0"/>
        <v xml:space="preserve">Premera 80/20 Plan </v>
      </c>
      <c r="J10" s="108" t="str">
        <f t="shared" si="0"/>
        <v xml:space="preserve">Kaiser Permanente </v>
      </c>
      <c r="K10" s="109" t="str">
        <f t="shared" si="0"/>
        <v>Premera $15 Copay Plan - Closed</v>
      </c>
      <c r="L10" s="49"/>
      <c r="M10" s="46"/>
      <c r="N10" s="46"/>
      <c r="O10" s="46"/>
      <c r="P10" s="46"/>
      <c r="Q10" s="46"/>
      <c r="R10" s="46"/>
      <c r="S10" s="46"/>
      <c r="T10" s="46"/>
      <c r="U10" s="46"/>
      <c r="V10" s="46"/>
      <c r="W10" s="46"/>
      <c r="AG10" s="103"/>
      <c r="AH10" s="103"/>
      <c r="AI10" s="103"/>
      <c r="AJ10" s="47"/>
      <c r="AK10" s="47"/>
      <c r="AU10" s="47"/>
      <c r="AV10" s="47"/>
      <c r="AW10" s="47"/>
      <c r="AX10" s="47"/>
      <c r="AY10" s="47"/>
    </row>
    <row r="11" spans="2:51" ht="37.5" customHeight="1" thickBot="1" x14ac:dyDescent="0.3">
      <c r="B11" s="142"/>
      <c r="C11" s="143"/>
      <c r="D11" s="143"/>
      <c r="E11" s="110" t="s">
        <v>11</v>
      </c>
      <c r="F11" s="110" t="str">
        <f>IF(C4=Data!A14,"","Member 2")</f>
        <v/>
      </c>
      <c r="G11" s="110" t="str">
        <f>IF(OR(C4=Data!A14,C4=Data!A15,C4=Data!A16),"","Member 3")</f>
        <v/>
      </c>
      <c r="H11" s="122" t="s">
        <v>77</v>
      </c>
      <c r="I11" s="122"/>
      <c r="J11" s="122"/>
      <c r="K11" s="123"/>
      <c r="L11" s="49"/>
      <c r="M11" s="46"/>
      <c r="N11" s="46"/>
      <c r="O11" s="46"/>
      <c r="P11" s="46"/>
      <c r="Q11" s="46"/>
      <c r="R11" s="46"/>
      <c r="S11" s="46"/>
      <c r="T11" s="46"/>
      <c r="U11" s="46"/>
      <c r="V11" s="46"/>
      <c r="W11" s="46"/>
      <c r="AG11" s="103"/>
      <c r="AH11" s="103"/>
      <c r="AI11" s="103"/>
      <c r="AJ11" s="47"/>
      <c r="AK11" s="47"/>
      <c r="AU11" s="47"/>
      <c r="AV11" s="47"/>
      <c r="AW11" s="47"/>
      <c r="AX11" s="47"/>
      <c r="AY11" s="47"/>
    </row>
    <row r="12" spans="2:51" ht="22.5" customHeight="1" x14ac:dyDescent="0.25">
      <c r="B12" s="16" t="s">
        <v>6</v>
      </c>
      <c r="C12" s="17"/>
      <c r="D12" s="17"/>
      <c r="E12" s="18"/>
      <c r="F12" s="18"/>
      <c r="G12" s="19"/>
      <c r="H12" s="19"/>
      <c r="I12" s="19"/>
      <c r="J12" s="19"/>
      <c r="K12" s="20"/>
      <c r="L12" s="50"/>
      <c r="M12" s="46"/>
      <c r="N12" s="46"/>
      <c r="O12" s="46"/>
      <c r="P12" s="46"/>
      <c r="Q12" s="46"/>
      <c r="R12" s="46"/>
      <c r="S12" s="46"/>
      <c r="T12" s="46"/>
      <c r="U12" s="46"/>
      <c r="V12" s="46"/>
      <c r="W12" s="46"/>
      <c r="AG12" s="103"/>
      <c r="AH12" s="103"/>
      <c r="AI12" s="103"/>
      <c r="AJ12" s="47"/>
      <c r="AK12" s="47"/>
      <c r="AU12" s="47"/>
      <c r="AV12" s="47"/>
      <c r="AW12" s="47"/>
      <c r="AX12" s="47"/>
      <c r="AY12" s="47"/>
    </row>
    <row r="13" spans="2:51" ht="15" customHeight="1" x14ac:dyDescent="0.25">
      <c r="B13" s="119" t="s">
        <v>23</v>
      </c>
      <c r="C13" s="120"/>
      <c r="D13" s="120"/>
      <c r="E13" s="21">
        <v>0</v>
      </c>
      <c r="F13" s="55"/>
      <c r="G13" s="55"/>
      <c r="H13" s="22">
        <f>SUM(Data!S3:U3)*SUM(Data!B3:D3)</f>
        <v>0</v>
      </c>
      <c r="I13" s="22">
        <f>SUM(Data!S3:U3)*SUM(Data!F3:H3)</f>
        <v>0</v>
      </c>
      <c r="J13" s="22">
        <f>SUM(Data!S3:U3)*SUM(Data!J3:L3)</f>
        <v>0</v>
      </c>
      <c r="K13" s="23">
        <f>SUM(Data!S3:U3)*SUM(Data!N3:P3)</f>
        <v>0</v>
      </c>
      <c r="L13" s="51"/>
      <c r="AG13" s="103"/>
      <c r="AH13" s="103"/>
      <c r="AI13" s="103"/>
      <c r="AJ13" s="47"/>
      <c r="AK13" s="47"/>
      <c r="AU13" s="47"/>
      <c r="AV13" s="47"/>
      <c r="AW13" s="47"/>
      <c r="AX13" s="47"/>
      <c r="AY13" s="47"/>
    </row>
    <row r="14" spans="2:51" ht="15" customHeight="1" x14ac:dyDescent="0.25">
      <c r="B14" s="24"/>
      <c r="C14" s="18"/>
      <c r="D14" s="18"/>
      <c r="E14" s="25"/>
      <c r="F14" s="25"/>
      <c r="G14" s="25"/>
      <c r="H14" s="22"/>
      <c r="I14" s="22"/>
      <c r="J14" s="22"/>
      <c r="K14" s="23"/>
      <c r="L14" s="48"/>
      <c r="AG14" s="103"/>
      <c r="AH14" s="103"/>
      <c r="AI14" s="103"/>
      <c r="AJ14" s="47"/>
      <c r="AK14" s="47"/>
      <c r="AU14" s="47"/>
      <c r="AV14" s="47"/>
      <c r="AW14" s="47"/>
      <c r="AX14" s="47"/>
      <c r="AY14" s="47"/>
    </row>
    <row r="15" spans="2:51" ht="21.75" customHeight="1" x14ac:dyDescent="0.25">
      <c r="B15" s="26" t="s">
        <v>1</v>
      </c>
      <c r="C15" s="18"/>
      <c r="D15" s="18"/>
      <c r="E15" s="25"/>
      <c r="F15" s="25"/>
      <c r="G15" s="25"/>
      <c r="H15" s="22"/>
      <c r="I15" s="22"/>
      <c r="J15" s="22"/>
      <c r="K15" s="23"/>
      <c r="L15" s="48"/>
      <c r="AG15" s="103"/>
      <c r="AH15" s="103"/>
      <c r="AI15" s="103"/>
      <c r="AJ15" s="47"/>
      <c r="AK15" s="47"/>
      <c r="AU15" s="47"/>
      <c r="AV15" s="47"/>
      <c r="AW15" s="47"/>
      <c r="AX15" s="47"/>
      <c r="AY15" s="47"/>
    </row>
    <row r="16" spans="2:51" ht="15" customHeight="1" x14ac:dyDescent="0.25">
      <c r="B16" s="119" t="s">
        <v>24</v>
      </c>
      <c r="C16" s="120"/>
      <c r="D16" s="120"/>
      <c r="E16" s="27">
        <v>0</v>
      </c>
      <c r="F16" s="56"/>
      <c r="G16" s="56"/>
      <c r="H16" s="22">
        <f>SUM(Data!S4:U4)*SUM(Data!B4:D4)</f>
        <v>0</v>
      </c>
      <c r="I16" s="22">
        <f>SUM(Data!S4:U4)*SUM(Data!F4:H4)</f>
        <v>0</v>
      </c>
      <c r="J16" s="22">
        <f>SUM(Data!S4:U4)*SUM(Data!J4:L4)</f>
        <v>0</v>
      </c>
      <c r="K16" s="23">
        <f>SUM(Data!S4:U4)*SUM(Data!N4:P4)</f>
        <v>0</v>
      </c>
      <c r="L16" s="48"/>
      <c r="AG16" s="103"/>
      <c r="AH16" s="103"/>
      <c r="AI16" s="103"/>
      <c r="AJ16" s="47"/>
      <c r="AK16" s="47"/>
      <c r="AU16" s="47"/>
      <c r="AV16" s="47"/>
      <c r="AW16" s="47"/>
      <c r="AX16" s="47"/>
      <c r="AY16" s="47"/>
    </row>
    <row r="17" spans="2:51" ht="15" customHeight="1" x14ac:dyDescent="0.25">
      <c r="B17" s="24"/>
      <c r="C17" s="18"/>
      <c r="D17" s="18"/>
      <c r="E17" s="25"/>
      <c r="F17" s="25"/>
      <c r="G17" s="25"/>
      <c r="H17" s="22"/>
      <c r="I17" s="22"/>
      <c r="J17" s="22"/>
      <c r="K17" s="23"/>
      <c r="L17" s="48"/>
      <c r="AG17" s="103"/>
      <c r="AH17" s="103"/>
      <c r="AI17" s="103"/>
      <c r="AJ17" s="47"/>
      <c r="AK17" s="47"/>
      <c r="AU17" s="47"/>
      <c r="AV17" s="47"/>
      <c r="AW17" s="47"/>
      <c r="AX17" s="47"/>
      <c r="AY17" s="47"/>
    </row>
    <row r="18" spans="2:51" ht="21.75" customHeight="1" x14ac:dyDescent="0.25">
      <c r="B18" s="26" t="s">
        <v>3</v>
      </c>
      <c r="C18" s="28"/>
      <c r="D18" s="29"/>
      <c r="E18" s="25"/>
      <c r="F18" s="25"/>
      <c r="G18" s="25"/>
      <c r="H18" s="22"/>
      <c r="I18" s="22"/>
      <c r="J18" s="22"/>
      <c r="K18" s="23"/>
      <c r="L18" s="48"/>
      <c r="AG18" s="103"/>
      <c r="AH18" s="103"/>
      <c r="AI18" s="103"/>
      <c r="AJ18" s="47"/>
      <c r="AK18" s="47"/>
      <c r="AU18" s="47"/>
      <c r="AV18" s="47"/>
      <c r="AW18" s="47"/>
      <c r="AX18" s="47"/>
      <c r="AY18" s="47"/>
    </row>
    <row r="19" spans="2:51" ht="30" customHeight="1" x14ac:dyDescent="0.25">
      <c r="B19" s="119" t="s">
        <v>27</v>
      </c>
      <c r="C19" s="121"/>
      <c r="D19" s="121"/>
      <c r="E19" s="27">
        <v>0</v>
      </c>
      <c r="F19" s="56"/>
      <c r="G19" s="56"/>
      <c r="H19" s="22">
        <f>SUM(Data!S5:U5)*SUM(Data!B5:D5)</f>
        <v>0</v>
      </c>
      <c r="I19" s="22">
        <f>SUM(Data!S5:U5)*SUM(Data!F5:H5)</f>
        <v>0</v>
      </c>
      <c r="J19" s="22">
        <f>SUM(Data!S5:U5)*SUM(Data!J5:L5)</f>
        <v>0</v>
      </c>
      <c r="K19" s="23">
        <f>SUM(Data!S5:U5)*SUM(Data!N5:P5)</f>
        <v>0</v>
      </c>
      <c r="L19" s="48"/>
      <c r="AG19" s="103"/>
      <c r="AH19" s="103"/>
      <c r="AI19" s="103"/>
      <c r="AJ19" s="47"/>
      <c r="AK19" s="47"/>
      <c r="AU19" s="47"/>
      <c r="AV19" s="47"/>
      <c r="AW19" s="47"/>
      <c r="AX19" s="47"/>
      <c r="AY19" s="47"/>
    </row>
    <row r="20" spans="2:51" ht="15" customHeight="1" x14ac:dyDescent="0.25">
      <c r="B20" s="58"/>
      <c r="C20" s="59"/>
      <c r="D20" s="59"/>
      <c r="E20" s="25"/>
      <c r="F20" s="25"/>
      <c r="G20" s="25"/>
      <c r="H20" s="22"/>
      <c r="I20" s="22"/>
      <c r="J20" s="22"/>
      <c r="K20" s="23"/>
      <c r="L20" s="48"/>
      <c r="AG20" s="103"/>
      <c r="AH20" s="103"/>
      <c r="AI20" s="103"/>
      <c r="AJ20" s="47"/>
      <c r="AK20" s="47"/>
      <c r="AU20" s="47"/>
      <c r="AV20" s="47"/>
      <c r="AW20" s="47"/>
      <c r="AX20" s="47"/>
      <c r="AY20" s="47"/>
    </row>
    <row r="21" spans="2:51" ht="21.75" customHeight="1" x14ac:dyDescent="0.25">
      <c r="B21" s="26" t="s">
        <v>7</v>
      </c>
      <c r="C21" s="18"/>
      <c r="D21" s="18"/>
      <c r="E21" s="25"/>
      <c r="F21" s="25"/>
      <c r="G21" s="25"/>
      <c r="H21" s="22"/>
      <c r="I21" s="22"/>
      <c r="J21" s="22"/>
      <c r="K21" s="23"/>
      <c r="L21" s="48"/>
      <c r="AG21" s="103"/>
      <c r="AH21" s="103"/>
      <c r="AI21" s="103"/>
      <c r="AJ21" s="47"/>
      <c r="AK21" s="47"/>
      <c r="AU21" s="47"/>
      <c r="AV21" s="47"/>
      <c r="AW21" s="47"/>
      <c r="AX21" s="47"/>
      <c r="AY21" s="47"/>
    </row>
    <row r="22" spans="2:51" ht="15" customHeight="1" x14ac:dyDescent="0.25">
      <c r="B22" s="119" t="s">
        <v>25</v>
      </c>
      <c r="C22" s="120"/>
      <c r="D22" s="120"/>
      <c r="E22" s="27">
        <v>0</v>
      </c>
      <c r="F22" s="56"/>
      <c r="G22" s="56"/>
      <c r="H22" s="22">
        <f>SUM(Data!S6:U6)*SUM(Data!B6:D6)</f>
        <v>0</v>
      </c>
      <c r="I22" s="22">
        <f>SUM(Data!S6:U6)*SUM(Data!F6:H6)</f>
        <v>0</v>
      </c>
      <c r="J22" s="22">
        <f>SUM(Data!S6:U6)*SUM(Data!J6:L6)</f>
        <v>0</v>
      </c>
      <c r="K22" s="23">
        <f>SUM(Data!S6:U6)*SUM(Data!N6:P6)</f>
        <v>0</v>
      </c>
      <c r="L22" s="48"/>
      <c r="AG22" s="103"/>
      <c r="AH22" s="103"/>
      <c r="AI22" s="103"/>
      <c r="AJ22" s="47"/>
      <c r="AK22" s="47"/>
      <c r="AU22" s="47"/>
      <c r="AV22" s="47"/>
      <c r="AW22" s="47"/>
      <c r="AX22" s="47"/>
      <c r="AY22" s="47"/>
    </row>
    <row r="23" spans="2:51" ht="15" customHeight="1" x14ac:dyDescent="0.25">
      <c r="B23" s="119" t="s">
        <v>26</v>
      </c>
      <c r="C23" s="120"/>
      <c r="D23" s="120"/>
      <c r="E23" s="27">
        <v>0</v>
      </c>
      <c r="F23" s="56"/>
      <c r="G23" s="56"/>
      <c r="H23" s="22">
        <f>SUM(Data!S7:U7)*SUM(Data!B7:D7)</f>
        <v>0</v>
      </c>
      <c r="I23" s="22">
        <f>SUM(Data!S7:U7)*SUM(Data!F7:H7)</f>
        <v>0</v>
      </c>
      <c r="J23" s="22">
        <f>SUM(Data!S7:U7)*SUM(Data!J7:L7)</f>
        <v>0</v>
      </c>
      <c r="K23" s="23">
        <f>SUM(Data!S7:U7)*SUM(Data!N7:P7)</f>
        <v>0</v>
      </c>
      <c r="L23" s="48"/>
      <c r="AJ23" s="47"/>
      <c r="AK23" s="47"/>
      <c r="AU23" s="47"/>
      <c r="AV23" s="47"/>
      <c r="AW23" s="47"/>
      <c r="AX23" s="47"/>
      <c r="AY23" s="47"/>
    </row>
    <row r="24" spans="2:51" ht="15" customHeight="1" x14ac:dyDescent="0.25">
      <c r="B24" s="24"/>
      <c r="C24" s="18"/>
      <c r="D24" s="18"/>
      <c r="E24" s="25"/>
      <c r="F24" s="25"/>
      <c r="G24" s="25"/>
      <c r="H24" s="22"/>
      <c r="I24" s="22"/>
      <c r="J24" s="22"/>
      <c r="K24" s="23"/>
      <c r="L24" s="48"/>
      <c r="AJ24" s="47"/>
      <c r="AK24" s="47"/>
      <c r="AU24" s="47"/>
      <c r="AV24" s="47"/>
      <c r="AW24" s="47"/>
      <c r="AX24" s="47"/>
      <c r="AY24" s="47"/>
    </row>
    <row r="25" spans="2:51" ht="28.5" customHeight="1" x14ac:dyDescent="0.25">
      <c r="B25" s="119" t="s">
        <v>46</v>
      </c>
      <c r="C25" s="120"/>
      <c r="D25" s="120"/>
      <c r="E25" s="30">
        <v>0</v>
      </c>
      <c r="F25" s="57"/>
      <c r="G25" s="57"/>
      <c r="H25" s="22">
        <f>SUM(Data!S8:U8)*SUM(Data!B8:D8)</f>
        <v>0</v>
      </c>
      <c r="I25" s="22">
        <f>SUM(Data!S8:U8)*SUM(Data!F8:H8)</f>
        <v>0</v>
      </c>
      <c r="J25" s="22">
        <f>SUM(Data!S8:U8)*SUM(Data!J8:L8)</f>
        <v>0</v>
      </c>
      <c r="K25" s="23">
        <f>SUM(Data!S8:U8)*SUM(Data!N8:P8)</f>
        <v>0</v>
      </c>
      <c r="L25" s="48"/>
      <c r="AJ25" s="47"/>
      <c r="AK25" s="47"/>
      <c r="AU25" s="47"/>
      <c r="AV25" s="47"/>
      <c r="AW25" s="47"/>
      <c r="AX25" s="47"/>
      <c r="AY25" s="47"/>
    </row>
    <row r="26" spans="2:51" ht="15" customHeight="1" x14ac:dyDescent="0.25">
      <c r="B26" s="58"/>
      <c r="C26" s="29"/>
      <c r="D26" s="29"/>
      <c r="E26" s="19"/>
      <c r="F26" s="19"/>
      <c r="G26" s="19"/>
      <c r="H26" s="19"/>
      <c r="I26" s="19"/>
      <c r="J26" s="19"/>
      <c r="K26" s="20"/>
      <c r="L26" s="48"/>
      <c r="AU26" s="47"/>
      <c r="AV26" s="47"/>
      <c r="AW26" s="47"/>
      <c r="AX26" s="47"/>
      <c r="AY26" s="47"/>
    </row>
    <row r="27" spans="2:51" ht="21.75" customHeight="1" x14ac:dyDescent="0.25">
      <c r="B27" s="31" t="s">
        <v>9</v>
      </c>
      <c r="C27" s="29"/>
      <c r="D27" s="29"/>
      <c r="E27" s="19"/>
      <c r="F27" s="19"/>
      <c r="G27" s="19"/>
      <c r="H27" s="19"/>
      <c r="I27" s="19"/>
      <c r="J27" s="19"/>
      <c r="K27" s="20"/>
      <c r="L27" s="48"/>
    </row>
    <row r="28" spans="2:51" ht="15" customHeight="1" x14ac:dyDescent="0.25">
      <c r="B28" s="119" t="s">
        <v>28</v>
      </c>
      <c r="C28" s="120"/>
      <c r="D28" s="120"/>
      <c r="E28" s="21">
        <v>1</v>
      </c>
      <c r="F28" s="55"/>
      <c r="G28" s="55"/>
      <c r="H28" s="22">
        <f>SUM(Data!S9:U9)*SUM(Data!B9:D9)</f>
        <v>25</v>
      </c>
      <c r="I28" s="22">
        <f>SUM(Data!S9:U9)*SUM(Data!F9:H9)</f>
        <v>5</v>
      </c>
      <c r="J28" s="22">
        <f>SUM(Data!S9:U9)*SUM(Data!J9:L9)</f>
        <v>10</v>
      </c>
      <c r="K28" s="23">
        <f>SUM(Data!S9:U9)*SUM(Data!N9:P9)</f>
        <v>5</v>
      </c>
      <c r="L28" s="48"/>
    </row>
    <row r="29" spans="2:51" ht="15" customHeight="1" x14ac:dyDescent="0.25">
      <c r="B29" s="119" t="s">
        <v>29</v>
      </c>
      <c r="C29" s="120"/>
      <c r="D29" s="120"/>
      <c r="E29" s="21">
        <v>1</v>
      </c>
      <c r="F29" s="55"/>
      <c r="G29" s="55"/>
      <c r="H29" s="22">
        <f>SUM(Data!S10:U10)*SUM(Data!B10:D10)</f>
        <v>150</v>
      </c>
      <c r="I29" s="22">
        <f>SUM(Data!S10:U10)*SUM(Data!F10:H10)</f>
        <v>20</v>
      </c>
      <c r="J29" s="22">
        <f>SUM(Data!S10:U10)*SUM(Data!J10:L10)</f>
        <v>10</v>
      </c>
      <c r="K29" s="23">
        <f>SUM(Data!S10:U10)*SUM(Data!N10:P10)</f>
        <v>10</v>
      </c>
      <c r="L29" s="48"/>
    </row>
    <row r="30" spans="2:51" ht="15" customHeight="1" x14ac:dyDescent="0.25">
      <c r="B30" s="119" t="s">
        <v>30</v>
      </c>
      <c r="C30" s="120"/>
      <c r="D30" s="120"/>
      <c r="E30" s="21">
        <v>1</v>
      </c>
      <c r="F30" s="55"/>
      <c r="G30" s="55"/>
      <c r="H30" s="22">
        <f>SUM(Data!S11:U11)*SUM(Data!B11:D11)</f>
        <v>300</v>
      </c>
      <c r="I30" s="22">
        <f>SUM(Data!S11:U11)*SUM(Data!F11:H11)</f>
        <v>40</v>
      </c>
      <c r="J30" s="22">
        <f>SUM(Data!S11:U11)*SUM(Data!J11:L11)</f>
        <v>0</v>
      </c>
      <c r="K30" s="23">
        <f>SUM(Data!S11:U11)*SUM(Data!N11:P11)</f>
        <v>20</v>
      </c>
      <c r="L30" s="48"/>
    </row>
    <row r="31" spans="2:51" ht="15" customHeight="1" thickBot="1" x14ac:dyDescent="0.3">
      <c r="B31" s="58"/>
      <c r="C31" s="32"/>
      <c r="D31" s="32"/>
      <c r="E31" s="32"/>
      <c r="F31" s="32"/>
      <c r="G31" s="104"/>
      <c r="H31" s="22"/>
      <c r="I31" s="22"/>
      <c r="J31" s="22"/>
      <c r="K31" s="23"/>
      <c r="L31" s="48"/>
    </row>
    <row r="32" spans="2:51" ht="56.25" customHeight="1" thickBot="1" x14ac:dyDescent="0.3">
      <c r="B32" s="124" t="s">
        <v>45</v>
      </c>
      <c r="C32" s="125"/>
      <c r="D32" s="125"/>
      <c r="E32" s="125"/>
      <c r="F32" s="125"/>
      <c r="G32" s="125"/>
      <c r="H32" s="2" t="str">
        <f t="shared" ref="H32:K32" si="1">H4</f>
        <v xml:space="preserve">Premera CCP </v>
      </c>
      <c r="I32" s="2" t="str">
        <f t="shared" si="1"/>
        <v xml:space="preserve">Premera 80/20 Plan </v>
      </c>
      <c r="J32" s="2" t="str">
        <f t="shared" si="1"/>
        <v xml:space="preserve">Kaiser Permanente </v>
      </c>
      <c r="K32" s="3" t="str">
        <f t="shared" si="1"/>
        <v>Premera $15 Copay Plan - Closed</v>
      </c>
      <c r="L32" s="48"/>
    </row>
    <row r="33" spans="2:24" ht="30" customHeight="1" x14ac:dyDescent="0.25">
      <c r="B33" s="33" t="s">
        <v>8</v>
      </c>
      <c r="C33" s="34"/>
      <c r="D33" s="34"/>
      <c r="E33" s="35"/>
      <c r="F33" s="35"/>
      <c r="G33" s="35"/>
      <c r="H33" s="25">
        <f>Data!B21</f>
        <v>475</v>
      </c>
      <c r="I33" s="25">
        <f>Data!F21</f>
        <v>65</v>
      </c>
      <c r="J33" s="25">
        <f>Data!J21</f>
        <v>20</v>
      </c>
      <c r="K33" s="36">
        <f>Data!N21</f>
        <v>35</v>
      </c>
      <c r="L33" s="48"/>
    </row>
    <row r="34" spans="2:24" ht="30" customHeight="1" x14ac:dyDescent="0.25">
      <c r="B34" s="33" t="s">
        <v>83</v>
      </c>
      <c r="C34" s="34"/>
      <c r="D34" s="34"/>
      <c r="E34" s="35"/>
      <c r="F34" s="35"/>
      <c r="G34" s="35"/>
      <c r="H34" s="25">
        <f>IF(Data!E13=Data!$AB$1,"N/A",-INDEX(Data!B14:E19,MATCH(C4,Data!A14:A19,0),MATCH(Data!E12,Data!B12:E12,0)))</f>
        <v>-1500</v>
      </c>
      <c r="I34" s="25" t="str">
        <f>IF(Data!I13=Data!$AB$1,"N/A",-INDEX(Data!F14:I19,MATCH(C4,Data!A14:A19,0),MATCH(Data!I12,Data!F12:I12,0)))</f>
        <v>N/A</v>
      </c>
      <c r="J34" s="25" t="str">
        <f>IF(Data!M13=Data!$AB$1,"N/A",-INDEX(Data!J14:M19,MATCH(C4,Data!A14:A19,0),MATCH(Data!M12,Data!J12:M12,0)))</f>
        <v>N/A</v>
      </c>
      <c r="K34" s="36" t="str">
        <f>IF(Data!Q13=Data!$AB$1,"N/A",-INDEX(Data!N14:Q19,MATCH(C4,Data!A14:A19,0),MATCH(Data!Q12,Data!N12:Q12,0)))</f>
        <v>N/A</v>
      </c>
      <c r="L34" s="48"/>
    </row>
    <row r="35" spans="2:24" ht="15" hidden="1" customHeight="1" x14ac:dyDescent="0.25">
      <c r="B35" s="33" t="str">
        <f>Data!A24</f>
        <v>No Wellness</v>
      </c>
      <c r="C35" s="34"/>
      <c r="D35" s="34"/>
      <c r="E35" s="35"/>
      <c r="F35" s="35"/>
      <c r="G35" s="35"/>
      <c r="H35" s="25">
        <f>IF('Plan Comparison Calculator'!E4=Data!$A$24,Data!$B$24,0)*12</f>
        <v>0</v>
      </c>
      <c r="I35" s="25">
        <f>IF('Plan Comparison Calculator'!E4=Data!$A$24,Data!$B$24,0)*12</f>
        <v>0</v>
      </c>
      <c r="J35" s="25">
        <f>IF('Plan Comparison Calculator'!E4=Data!$A$24,Data!$B$24,0)*12</f>
        <v>0</v>
      </c>
      <c r="K35" s="36">
        <f>IF('Plan Comparison Calculator'!E4=Data!$A$24,Data!$B$24,0)*12</f>
        <v>0</v>
      </c>
      <c r="L35" s="48"/>
    </row>
    <row r="36" spans="2:24" ht="19.5" customHeight="1" x14ac:dyDescent="0.25">
      <c r="B36" s="33" t="s">
        <v>2</v>
      </c>
      <c r="C36" s="34"/>
      <c r="D36" s="34"/>
      <c r="E36" s="35"/>
      <c r="F36" s="35"/>
      <c r="G36" s="35"/>
      <c r="H36" s="37">
        <f>H5*12</f>
        <v>0</v>
      </c>
      <c r="I36" s="37">
        <f>I5*12</f>
        <v>0</v>
      </c>
      <c r="J36" s="37">
        <f>J5*12</f>
        <v>732</v>
      </c>
      <c r="K36" s="38">
        <f>K5*12</f>
        <v>684</v>
      </c>
      <c r="L36" s="48"/>
      <c r="M36" s="46"/>
      <c r="N36" s="46"/>
      <c r="O36" s="46"/>
      <c r="P36" s="46"/>
      <c r="Q36" s="46"/>
      <c r="R36" s="46"/>
      <c r="S36" s="46"/>
      <c r="T36" s="46"/>
      <c r="U36" s="46"/>
      <c r="V36" s="46"/>
    </row>
    <row r="37" spans="2:24" ht="21.75" customHeight="1" thickBot="1" x14ac:dyDescent="0.3">
      <c r="B37" s="39" t="s">
        <v>0</v>
      </c>
      <c r="C37" s="40"/>
      <c r="D37" s="40"/>
      <c r="E37" s="41"/>
      <c r="F37" s="41"/>
      <c r="G37" s="41"/>
      <c r="H37" s="42">
        <f>IF(Data!E13=Data!$AB$3,SUM(MIN(0,SUM('Plan Comparison Calculator'!H33:H34)),'Plan Comparison Calculator'!H35:H36),SUM(H33:H36))</f>
        <v>-1025</v>
      </c>
      <c r="I37" s="42">
        <f>IF(Data!I13=Data!$AB$3,SUM(MIN(0,SUM('Plan Comparison Calculator'!I33:I34)),'Plan Comparison Calculator'!I35:I36),SUM(I33:I36))</f>
        <v>65</v>
      </c>
      <c r="J37" s="42">
        <f>IF(Data!M13=Data!$AB$3,SUM(MIN(0,SUM('Plan Comparison Calculator'!J33:J34)),'Plan Comparison Calculator'!J35:J36),SUM(J33:J36))</f>
        <v>752</v>
      </c>
      <c r="K37" s="43">
        <f>IF(Data!Q13=Data!$AB$3,SUM(MIN(0,SUM('Plan Comparison Calculator'!K33:K34)),'Plan Comparison Calculator'!K35:K36),SUM(K33:K36))</f>
        <v>719</v>
      </c>
      <c r="L37" s="48"/>
    </row>
    <row r="38" spans="2:24" ht="45" customHeight="1" thickBot="1" x14ac:dyDescent="0.3">
      <c r="B38" s="114" t="s">
        <v>12</v>
      </c>
      <c r="C38" s="115"/>
      <c r="D38" s="115"/>
      <c r="E38" s="115"/>
      <c r="F38" s="115"/>
      <c r="G38" s="115"/>
      <c r="H38" s="115"/>
      <c r="I38" s="115"/>
      <c r="J38" s="115"/>
      <c r="K38" s="115"/>
      <c r="L38" s="48"/>
    </row>
    <row r="39" spans="2:24" ht="7.5" customHeight="1" x14ac:dyDescent="0.25"/>
    <row r="40" spans="2:24" ht="15.75" hidden="1" customHeight="1" x14ac:dyDescent="0.25"/>
    <row r="41" spans="2:24" ht="15.75" hidden="1" customHeight="1" x14ac:dyDescent="0.25"/>
    <row r="42" spans="2:24" ht="15.75" hidden="1" customHeight="1" x14ac:dyDescent="0.25"/>
    <row r="43" spans="2:24" ht="15.75" hidden="1" customHeight="1" x14ac:dyDescent="0.25">
      <c r="L43" s="46"/>
      <c r="W43" s="46"/>
    </row>
    <row r="44" spans="2:24" ht="15.75" hidden="1" customHeight="1" x14ac:dyDescent="0.25">
      <c r="X44" s="52"/>
    </row>
    <row r="45" spans="2:24" ht="15.75" hidden="1" customHeight="1" x14ac:dyDescent="0.25"/>
  </sheetData>
  <sheetProtection selectLockedCells="1"/>
  <mergeCells count="22">
    <mergeCell ref="B2:K2"/>
    <mergeCell ref="B16:D16"/>
    <mergeCell ref="B22:D22"/>
    <mergeCell ref="B3:K3"/>
    <mergeCell ref="B5:G5"/>
    <mergeCell ref="B6:G6"/>
    <mergeCell ref="B7:G7"/>
    <mergeCell ref="C4:D4"/>
    <mergeCell ref="B10:D11"/>
    <mergeCell ref="E10:G10"/>
    <mergeCell ref="E4:G4"/>
    <mergeCell ref="B38:K38"/>
    <mergeCell ref="B9:K9"/>
    <mergeCell ref="B29:D29"/>
    <mergeCell ref="B30:D30"/>
    <mergeCell ref="B25:D25"/>
    <mergeCell ref="B19:D19"/>
    <mergeCell ref="B23:D23"/>
    <mergeCell ref="B28:D28"/>
    <mergeCell ref="H11:K11"/>
    <mergeCell ref="B32:G32"/>
    <mergeCell ref="B13:D13"/>
  </mergeCells>
  <conditionalFormatting sqref="F13 F16 F19 F22:F23 F25 F28:F30">
    <cfRule type="expression" dxfId="6" priority="2">
      <formula>$F$11&lt;&gt;""</formula>
    </cfRule>
  </conditionalFormatting>
  <conditionalFormatting sqref="G13 G16 G19 G22:G23 G25 G28:G30">
    <cfRule type="expression" dxfId="5" priority="1">
      <formula>$G$11&lt;&gt;""</formula>
    </cfRule>
  </conditionalFormatting>
  <dataValidations xWindow="534" yWindow="281" count="1">
    <dataValidation type="list" allowBlank="1" showInputMessage="1" showErrorMessage="1" errorTitle="Selection" error="Please use drop down box to make a selection.  " sqref="C4:D4" xr:uid="{00000000-0002-0000-0000-000000000000}">
      <formula1>Tiers</formula1>
    </dataValidation>
  </dataValidations>
  <printOptions horizontalCentered="1"/>
  <pageMargins left="0.24" right="0" top="0.5" bottom="0.22" header="0.3" footer="0.22"/>
  <pageSetup scale="80" fitToHeight="2" orientation="portrait" r:id="rId1"/>
  <extLst>
    <ext xmlns:x14="http://schemas.microsoft.com/office/spreadsheetml/2009/9/main" uri="{78C0D931-6437-407d-A8EE-F0AAD7539E65}">
      <x14:conditionalFormattings>
        <x14:conditionalFormatting xmlns:xm="http://schemas.microsoft.com/office/excel/2006/main">
          <x14:cfRule type="expression" priority="18" id="{87918F71-5FFF-4EF1-834E-6AA90CCBFAC0}">
            <xm:f>Data!$A$24="No Wellness"</xm:f>
            <x14:dxf>
              <font>
                <color theme="3"/>
              </font>
              <fill>
                <patternFill>
                  <bgColor theme="3"/>
                </patternFill>
              </fill>
              <border>
                <right/>
              </border>
            </x14:dxf>
          </x14:cfRule>
          <xm:sqref>E4:G4</xm:sqref>
        </x14:conditionalFormatting>
      </x14:conditionalFormattings>
    </ext>
    <ext xmlns:x14="http://schemas.microsoft.com/office/spreadsheetml/2009/9/main" uri="{CCE6A557-97BC-4b89-ADB6-D9C93CAAB3DF}">
      <x14:dataValidations xmlns:xm="http://schemas.microsoft.com/office/excel/2006/main" xWindow="534" yWindow="281" count="1">
        <x14:dataValidation type="list" allowBlank="1" xr:uid="{00000000-0002-0000-0000-000001000000}">
          <x14:formula1>
            <xm:f>IF(Data!$A$24&lt;&gt;"No Wellness",Data!$AC$4:$AC$5,NA())</xm:f>
          </x14:formula1>
          <xm:sqref>E4:G4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9"/>
  <sheetViews>
    <sheetView showGridLines="0" zoomScaleNormal="100" workbookViewId="0">
      <selection activeCell="C3" sqref="C3"/>
    </sheetView>
  </sheetViews>
  <sheetFormatPr defaultColWidth="9.140625" defaultRowHeight="12" x14ac:dyDescent="0.25"/>
  <cols>
    <col min="1" max="1" width="23" style="61" customWidth="1"/>
    <col min="2" max="17" width="14.42578125" style="60" customWidth="1"/>
    <col min="18" max="30" width="9.140625" style="60" customWidth="1"/>
    <col min="31" max="16384" width="9.140625" style="60"/>
  </cols>
  <sheetData>
    <row r="1" spans="1:29" ht="12.75" thickBot="1" x14ac:dyDescent="0.3">
      <c r="A1" s="88" t="s">
        <v>84</v>
      </c>
      <c r="B1" s="146" t="s">
        <v>88</v>
      </c>
      <c r="C1" s="147"/>
      <c r="D1" s="147"/>
      <c r="E1" s="148"/>
      <c r="F1" s="146" t="s">
        <v>85</v>
      </c>
      <c r="G1" s="147"/>
      <c r="H1" s="147"/>
      <c r="I1" s="148"/>
      <c r="J1" s="146" t="s">
        <v>86</v>
      </c>
      <c r="K1" s="147"/>
      <c r="L1" s="147"/>
      <c r="M1" s="148"/>
      <c r="N1" s="146" t="s">
        <v>87</v>
      </c>
      <c r="O1" s="147"/>
      <c r="P1" s="147"/>
      <c r="Q1" s="148"/>
      <c r="AA1" s="60" t="s">
        <v>42</v>
      </c>
      <c r="AB1" s="60" t="s">
        <v>32</v>
      </c>
      <c r="AC1" s="60" t="s">
        <v>10</v>
      </c>
    </row>
    <row r="2" spans="1:29" ht="38.25" customHeight="1" thickBot="1" x14ac:dyDescent="0.3">
      <c r="B2" s="62" t="s">
        <v>15</v>
      </c>
      <c r="C2" s="63" t="s">
        <v>31</v>
      </c>
      <c r="D2" s="63" t="s">
        <v>41</v>
      </c>
      <c r="E2" s="64" t="s">
        <v>40</v>
      </c>
      <c r="F2" s="62" t="str">
        <f>B2</f>
        <v>Copay</v>
      </c>
      <c r="G2" s="63" t="str">
        <f>C2</f>
        <v>Deductible then Coinsurance</v>
      </c>
      <c r="H2" s="63" t="str">
        <f>D2</f>
        <v>Coinsurance Only (Waive Deductible)</v>
      </c>
      <c r="I2" s="64" t="str">
        <f>E2</f>
        <v>Coinsurance %</v>
      </c>
      <c r="J2" s="62" t="str">
        <f>B2</f>
        <v>Copay</v>
      </c>
      <c r="K2" s="63" t="str">
        <f>C2</f>
        <v>Deductible then Coinsurance</v>
      </c>
      <c r="L2" s="63" t="str">
        <f>D2</f>
        <v>Coinsurance Only (Waive Deductible)</v>
      </c>
      <c r="M2" s="64" t="str">
        <f>E2</f>
        <v>Coinsurance %</v>
      </c>
      <c r="N2" s="62" t="str">
        <f>B2</f>
        <v>Copay</v>
      </c>
      <c r="O2" s="63" t="str">
        <f>C2</f>
        <v>Deductible then Coinsurance</v>
      </c>
      <c r="P2" s="63" t="str">
        <f>D2</f>
        <v>Coinsurance Only (Waive Deductible)</v>
      </c>
      <c r="Q2" s="64" t="str">
        <f>E2</f>
        <v>Coinsurance %</v>
      </c>
      <c r="S2" s="60" t="str">
        <f>'Plan Comparison Calculator'!E11</f>
        <v>Employee</v>
      </c>
      <c r="T2" s="60" t="str">
        <f>'Plan Comparison Calculator'!F11</f>
        <v/>
      </c>
      <c r="U2" s="60" t="str">
        <f>'Plan Comparison Calculator'!G11</f>
        <v/>
      </c>
      <c r="AA2" s="60" t="s">
        <v>39</v>
      </c>
      <c r="AB2" s="60" t="s">
        <v>38</v>
      </c>
      <c r="AC2" s="60" t="s">
        <v>73</v>
      </c>
    </row>
    <row r="3" spans="1:29" x14ac:dyDescent="0.25">
      <c r="A3" s="65" t="s">
        <v>13</v>
      </c>
      <c r="B3" s="89"/>
      <c r="C3" s="90">
        <v>265</v>
      </c>
      <c r="D3" s="90"/>
      <c r="E3" s="91">
        <v>1</v>
      </c>
      <c r="F3" s="89">
        <v>20</v>
      </c>
      <c r="G3" s="90"/>
      <c r="H3" s="90"/>
      <c r="I3" s="91">
        <v>0.8</v>
      </c>
      <c r="J3" s="89">
        <v>10</v>
      </c>
      <c r="K3" s="90"/>
      <c r="L3" s="90"/>
      <c r="M3" s="91">
        <v>1</v>
      </c>
      <c r="N3" s="89">
        <v>15</v>
      </c>
      <c r="O3" s="90"/>
      <c r="P3" s="90"/>
      <c r="Q3" s="91">
        <v>1</v>
      </c>
      <c r="S3" s="66">
        <f>'Plan Comparison Calculator'!E13</f>
        <v>0</v>
      </c>
      <c r="T3" s="66">
        <f>IF(T2="",0,'Plan Comparison Calculator'!F13)</f>
        <v>0</v>
      </c>
      <c r="U3" s="66">
        <f>'Plan Comparison Calculator'!G13</f>
        <v>0</v>
      </c>
      <c r="AB3" s="60" t="s">
        <v>37</v>
      </c>
      <c r="AC3" s="60" t="s">
        <v>74</v>
      </c>
    </row>
    <row r="4" spans="1:29" x14ac:dyDescent="0.25">
      <c r="A4" s="67" t="s">
        <v>21</v>
      </c>
      <c r="B4" s="92"/>
      <c r="C4" s="93">
        <v>1500</v>
      </c>
      <c r="D4" s="93"/>
      <c r="E4" s="68"/>
      <c r="F4" s="92">
        <v>75</v>
      </c>
      <c r="G4" s="93">
        <v>1500</v>
      </c>
      <c r="H4" s="93"/>
      <c r="I4" s="68"/>
      <c r="J4" s="92">
        <v>75</v>
      </c>
      <c r="K4" s="93"/>
      <c r="L4" s="93"/>
      <c r="M4" s="68"/>
      <c r="N4" s="92">
        <v>50</v>
      </c>
      <c r="O4" s="93"/>
      <c r="P4" s="93"/>
      <c r="Q4" s="68"/>
      <c r="S4" s="60">
        <f>'Plan Comparison Calculator'!E16</f>
        <v>0</v>
      </c>
      <c r="T4" s="60">
        <f>IF(T2="",0,'Plan Comparison Calculator'!F16)</f>
        <v>0</v>
      </c>
      <c r="U4" s="60">
        <f>'Plan Comparison Calculator'!G16</f>
        <v>0</v>
      </c>
      <c r="AC4" s="60" t="str">
        <f>A24</f>
        <v>No Wellness</v>
      </c>
    </row>
    <row r="5" spans="1:29" x14ac:dyDescent="0.25">
      <c r="A5" s="67" t="s">
        <v>3</v>
      </c>
      <c r="B5" s="92"/>
      <c r="C5" s="93">
        <v>13600</v>
      </c>
      <c r="D5" s="93"/>
      <c r="E5" s="68"/>
      <c r="F5" s="92"/>
      <c r="G5" s="93">
        <v>13600</v>
      </c>
      <c r="H5" s="93"/>
      <c r="I5" s="68"/>
      <c r="J5" s="92"/>
      <c r="K5" s="93">
        <v>13600</v>
      </c>
      <c r="L5" s="93"/>
      <c r="M5" s="68"/>
      <c r="N5" s="92"/>
      <c r="O5" s="93">
        <v>13600</v>
      </c>
      <c r="P5" s="93"/>
      <c r="Q5" s="68"/>
      <c r="S5" s="60">
        <f>'Plan Comparison Calculator'!E19</f>
        <v>0</v>
      </c>
      <c r="T5" s="60">
        <f>IF(T2="",0,'Plan Comparison Calculator'!F19)</f>
        <v>0</v>
      </c>
      <c r="U5" s="60">
        <f>'Plan Comparison Calculator'!G19</f>
        <v>0</v>
      </c>
      <c r="AC5" s="60" t="str">
        <f>CONCATENATE("No ",A24)</f>
        <v>No No Wellness</v>
      </c>
    </row>
    <row r="6" spans="1:29" x14ac:dyDescent="0.25">
      <c r="A6" s="67" t="s">
        <v>16</v>
      </c>
      <c r="B6" s="92"/>
      <c r="C6" s="93">
        <v>100</v>
      </c>
      <c r="D6" s="93"/>
      <c r="E6" s="68"/>
      <c r="F6" s="92"/>
      <c r="G6" s="93">
        <v>100</v>
      </c>
      <c r="H6" s="93"/>
      <c r="I6" s="68"/>
      <c r="J6" s="92"/>
      <c r="K6" s="93">
        <v>100</v>
      </c>
      <c r="L6" s="93"/>
      <c r="M6" s="68"/>
      <c r="N6" s="92"/>
      <c r="O6" s="93">
        <v>100</v>
      </c>
      <c r="P6" s="93"/>
      <c r="Q6" s="68"/>
      <c r="S6" s="60">
        <f>'Plan Comparison Calculator'!E22</f>
        <v>0</v>
      </c>
      <c r="T6" s="60">
        <f>IF(T2="",0,'Plan Comparison Calculator'!F22)</f>
        <v>0</v>
      </c>
      <c r="U6" s="60">
        <f>'Plan Comparison Calculator'!G22</f>
        <v>0</v>
      </c>
    </row>
    <row r="7" spans="1:29" x14ac:dyDescent="0.25">
      <c r="A7" s="67" t="s">
        <v>17</v>
      </c>
      <c r="B7" s="92"/>
      <c r="C7" s="93">
        <v>750</v>
      </c>
      <c r="D7" s="93"/>
      <c r="E7" s="68"/>
      <c r="F7" s="92"/>
      <c r="G7" s="93">
        <v>750</v>
      </c>
      <c r="H7" s="93"/>
      <c r="I7" s="68"/>
      <c r="J7" s="92"/>
      <c r="K7" s="93">
        <v>750</v>
      </c>
      <c r="L7" s="93"/>
      <c r="M7" s="68"/>
      <c r="N7" s="92"/>
      <c r="O7" s="93">
        <v>750</v>
      </c>
      <c r="P7" s="93"/>
      <c r="Q7" s="68"/>
      <c r="S7" s="60">
        <f>'Plan Comparison Calculator'!E23</f>
        <v>0</v>
      </c>
      <c r="T7" s="60">
        <f>IF(T2="",0,'Plan Comparison Calculator'!F23)</f>
        <v>0</v>
      </c>
      <c r="U7" s="60">
        <f>'Plan Comparison Calculator'!G23</f>
        <v>0</v>
      </c>
    </row>
    <row r="8" spans="1:29" x14ac:dyDescent="0.25">
      <c r="A8" s="67" t="s">
        <v>18</v>
      </c>
      <c r="B8" s="69"/>
      <c r="C8" s="70">
        <v>1</v>
      </c>
      <c r="D8" s="70"/>
      <c r="E8" s="71"/>
      <c r="F8" s="69"/>
      <c r="G8" s="70">
        <v>1</v>
      </c>
      <c r="H8" s="70"/>
      <c r="I8" s="71"/>
      <c r="J8" s="69"/>
      <c r="K8" s="70">
        <v>1</v>
      </c>
      <c r="L8" s="70"/>
      <c r="M8" s="71"/>
      <c r="N8" s="69"/>
      <c r="O8" s="70">
        <v>1</v>
      </c>
      <c r="P8" s="70"/>
      <c r="Q8" s="71"/>
      <c r="S8" s="72">
        <f>'Plan Comparison Calculator'!E25</f>
        <v>0</v>
      </c>
      <c r="T8" s="72">
        <f>IF(T2="",0,'Plan Comparison Calculator'!F25)</f>
        <v>0</v>
      </c>
      <c r="U8" s="72">
        <f>'Plan Comparison Calculator'!G25</f>
        <v>0</v>
      </c>
    </row>
    <row r="9" spans="1:29" x14ac:dyDescent="0.25">
      <c r="A9" s="67" t="s">
        <v>19</v>
      </c>
      <c r="B9" s="92"/>
      <c r="C9" s="93">
        <v>25</v>
      </c>
      <c r="D9" s="93"/>
      <c r="E9" s="68"/>
      <c r="F9" s="93">
        <v>5</v>
      </c>
      <c r="G9" s="93"/>
      <c r="H9" s="93"/>
      <c r="I9" s="68"/>
      <c r="J9" s="92">
        <v>10</v>
      </c>
      <c r="K9" s="93"/>
      <c r="L9" s="93"/>
      <c r="M9" s="68"/>
      <c r="N9" s="92">
        <v>5</v>
      </c>
      <c r="O9" s="93"/>
      <c r="P9" s="93"/>
      <c r="Q9" s="68"/>
      <c r="S9" s="66">
        <f>'Plan Comparison Calculator'!E28</f>
        <v>1</v>
      </c>
      <c r="T9" s="66">
        <f>IF(T2="",0,'Plan Comparison Calculator'!F28)</f>
        <v>0</v>
      </c>
      <c r="U9" s="66">
        <f>'Plan Comparison Calculator'!G28</f>
        <v>0</v>
      </c>
    </row>
    <row r="10" spans="1:29" x14ac:dyDescent="0.25">
      <c r="A10" s="67" t="s">
        <v>20</v>
      </c>
      <c r="B10" s="92"/>
      <c r="C10" s="93">
        <v>150</v>
      </c>
      <c r="D10" s="93"/>
      <c r="E10" s="68"/>
      <c r="F10" s="93">
        <v>20</v>
      </c>
      <c r="G10" s="93"/>
      <c r="H10" s="93"/>
      <c r="I10" s="68"/>
      <c r="J10" s="92">
        <v>10</v>
      </c>
      <c r="K10" s="93"/>
      <c r="L10" s="93"/>
      <c r="M10" s="68"/>
      <c r="N10" s="92">
        <v>10</v>
      </c>
      <c r="O10" s="93"/>
      <c r="P10" s="93"/>
      <c r="Q10" s="68"/>
      <c r="S10" s="66">
        <f>'Plan Comparison Calculator'!E29</f>
        <v>1</v>
      </c>
      <c r="T10" s="66">
        <f>IF(T2="",0,'Plan Comparison Calculator'!F29)</f>
        <v>0</v>
      </c>
      <c r="U10" s="66">
        <f>'Plan Comparison Calculator'!G29</f>
        <v>0</v>
      </c>
    </row>
    <row r="11" spans="1:29" ht="12.75" thickBot="1" x14ac:dyDescent="0.3">
      <c r="A11" s="73" t="s">
        <v>36</v>
      </c>
      <c r="B11" s="92"/>
      <c r="C11" s="93">
        <v>300</v>
      </c>
      <c r="D11" s="93"/>
      <c r="E11" s="68"/>
      <c r="F11" s="93">
        <v>40</v>
      </c>
      <c r="G11" s="93"/>
      <c r="H11" s="93"/>
      <c r="I11" s="68"/>
      <c r="J11" s="70"/>
      <c r="K11" s="93"/>
      <c r="L11" s="93"/>
      <c r="M11" s="68"/>
      <c r="N11" s="92">
        <v>20</v>
      </c>
      <c r="O11" s="93"/>
      <c r="P11" s="93"/>
      <c r="Q11" s="68"/>
      <c r="S11" s="66">
        <f>'Plan Comparison Calculator'!E30</f>
        <v>1</v>
      </c>
      <c r="T11" s="66">
        <f>IF(T2="",0,'Plan Comparison Calculator'!F30)</f>
        <v>0</v>
      </c>
      <c r="U11" s="66">
        <f>'Plan Comparison Calculator'!G30</f>
        <v>0</v>
      </c>
    </row>
    <row r="12" spans="1:29" ht="25.5" customHeight="1" thickBot="1" x14ac:dyDescent="0.3">
      <c r="B12" s="62" t="s">
        <v>35</v>
      </c>
      <c r="C12" s="63" t="s">
        <v>4</v>
      </c>
      <c r="D12" s="63" t="s">
        <v>34</v>
      </c>
      <c r="E12" s="64" t="s">
        <v>33</v>
      </c>
      <c r="F12" s="62" t="str">
        <f>B12</f>
        <v>Premium</v>
      </c>
      <c r="G12" s="63" t="str">
        <f>C12</f>
        <v>Deductible</v>
      </c>
      <c r="H12" s="63" t="str">
        <f>D12</f>
        <v>OOP Max</v>
      </c>
      <c r="I12" s="64" t="str">
        <f>E12</f>
        <v>Additional Contribution</v>
      </c>
      <c r="J12" s="62" t="str">
        <f>B12</f>
        <v>Premium</v>
      </c>
      <c r="K12" s="63" t="str">
        <f>C12</f>
        <v>Deductible</v>
      </c>
      <c r="L12" s="63" t="str">
        <f>D12</f>
        <v>OOP Max</v>
      </c>
      <c r="M12" s="64" t="str">
        <f>E12</f>
        <v>Additional Contribution</v>
      </c>
      <c r="N12" s="62" t="str">
        <f>B12</f>
        <v>Premium</v>
      </c>
      <c r="O12" s="63" t="str">
        <f>C12</f>
        <v>Deductible</v>
      </c>
      <c r="P12" s="63" t="str">
        <f>D12</f>
        <v>OOP Max</v>
      </c>
      <c r="Q12" s="64" t="str">
        <f>E12</f>
        <v>Additional Contribution</v>
      </c>
    </row>
    <row r="13" spans="1:29" x14ac:dyDescent="0.25">
      <c r="A13" s="65" t="s">
        <v>14</v>
      </c>
      <c r="B13" s="74"/>
      <c r="C13" s="94" t="s">
        <v>39</v>
      </c>
      <c r="D13" s="94" t="s">
        <v>39</v>
      </c>
      <c r="E13" s="95" t="s">
        <v>38</v>
      </c>
      <c r="F13" s="74"/>
      <c r="G13" s="94" t="s">
        <v>42</v>
      </c>
      <c r="H13" s="94" t="s">
        <v>42</v>
      </c>
      <c r="I13" s="95" t="s">
        <v>32</v>
      </c>
      <c r="J13" s="74"/>
      <c r="K13" s="112" t="s">
        <v>42</v>
      </c>
      <c r="L13" s="112" t="s">
        <v>42</v>
      </c>
      <c r="M13" s="95" t="s">
        <v>32</v>
      </c>
      <c r="N13" s="74"/>
      <c r="O13" s="94" t="s">
        <v>42</v>
      </c>
      <c r="P13" s="94" t="s">
        <v>42</v>
      </c>
      <c r="Q13" s="95" t="s">
        <v>32</v>
      </c>
    </row>
    <row r="14" spans="1:29" x14ac:dyDescent="0.25">
      <c r="A14" s="101" t="s">
        <v>78</v>
      </c>
      <c r="B14" s="92">
        <v>0</v>
      </c>
      <c r="C14" s="93">
        <v>2000</v>
      </c>
      <c r="D14" s="93">
        <v>2000</v>
      </c>
      <c r="E14" s="96">
        <v>1500</v>
      </c>
      <c r="F14" s="92">
        <v>0</v>
      </c>
      <c r="G14" s="93">
        <v>200</v>
      </c>
      <c r="H14" s="93">
        <v>1200</v>
      </c>
      <c r="I14" s="96"/>
      <c r="J14" s="92">
        <v>61</v>
      </c>
      <c r="K14" s="93">
        <v>0</v>
      </c>
      <c r="L14" s="93">
        <v>2000</v>
      </c>
      <c r="M14" s="96">
        <f>K14</f>
        <v>0</v>
      </c>
      <c r="N14" s="92">
        <v>57</v>
      </c>
      <c r="O14" s="93">
        <v>0</v>
      </c>
      <c r="P14" s="93">
        <v>6350</v>
      </c>
      <c r="Q14" s="96"/>
    </row>
    <row r="15" spans="1:29" x14ac:dyDescent="0.25">
      <c r="A15" s="101" t="s">
        <v>79</v>
      </c>
      <c r="B15" s="92">
        <v>0</v>
      </c>
      <c r="C15" s="93">
        <v>4000</v>
      </c>
      <c r="D15" s="93">
        <v>4000</v>
      </c>
      <c r="E15" s="96">
        <v>1500</v>
      </c>
      <c r="F15" s="92">
        <v>17</v>
      </c>
      <c r="G15" s="93">
        <v>400</v>
      </c>
      <c r="H15" s="93">
        <v>2400</v>
      </c>
      <c r="I15" s="96"/>
      <c r="J15" s="92">
        <v>209</v>
      </c>
      <c r="K15" s="93">
        <v>0</v>
      </c>
      <c r="L15" s="93">
        <v>4000</v>
      </c>
      <c r="M15" s="96">
        <f>K15</f>
        <v>0</v>
      </c>
      <c r="N15" s="92">
        <v>194</v>
      </c>
      <c r="O15" s="93">
        <v>0</v>
      </c>
      <c r="P15" s="93">
        <v>12700</v>
      </c>
      <c r="Q15" s="96"/>
    </row>
    <row r="16" spans="1:29" x14ac:dyDescent="0.25">
      <c r="A16" s="101" t="s">
        <v>82</v>
      </c>
      <c r="B16" s="92">
        <v>0</v>
      </c>
      <c r="C16" s="93">
        <v>4000</v>
      </c>
      <c r="D16" s="93">
        <f>D15</f>
        <v>4000</v>
      </c>
      <c r="E16" s="96">
        <v>1500</v>
      </c>
      <c r="F16" s="92">
        <v>16</v>
      </c>
      <c r="G16" s="93">
        <v>400</v>
      </c>
      <c r="H16" s="93">
        <v>2400</v>
      </c>
      <c r="I16" s="96"/>
      <c r="J16" s="92">
        <v>193</v>
      </c>
      <c r="K16" s="93">
        <v>0</v>
      </c>
      <c r="L16" s="93">
        <f>L15</f>
        <v>4000</v>
      </c>
      <c r="M16" s="96">
        <f>M15</f>
        <v>0</v>
      </c>
      <c r="N16" s="92">
        <v>179</v>
      </c>
      <c r="O16" s="93">
        <f>O15</f>
        <v>0</v>
      </c>
      <c r="P16" s="93">
        <f>P15</f>
        <v>12700</v>
      </c>
      <c r="Q16" s="96"/>
    </row>
    <row r="17" spans="1:17" x14ac:dyDescent="0.25">
      <c r="A17" s="101" t="s">
        <v>80</v>
      </c>
      <c r="B17" s="92">
        <v>0</v>
      </c>
      <c r="C17" s="93">
        <v>4000</v>
      </c>
      <c r="D17" s="93">
        <f>D15</f>
        <v>4000</v>
      </c>
      <c r="E17" s="96">
        <v>1500</v>
      </c>
      <c r="F17" s="92">
        <v>16</v>
      </c>
      <c r="G17" s="93">
        <v>600</v>
      </c>
      <c r="H17" s="93">
        <v>3600</v>
      </c>
      <c r="I17" s="96"/>
      <c r="J17" s="92">
        <v>193</v>
      </c>
      <c r="K17" s="93">
        <v>0</v>
      </c>
      <c r="L17" s="93">
        <f t="shared" ref="L17:M18" si="0">L15</f>
        <v>4000</v>
      </c>
      <c r="M17" s="96">
        <f t="shared" si="0"/>
        <v>0</v>
      </c>
      <c r="N17" s="92">
        <v>179</v>
      </c>
      <c r="O17" s="93">
        <f>O15</f>
        <v>0</v>
      </c>
      <c r="P17" s="93">
        <f>P15</f>
        <v>12700</v>
      </c>
      <c r="Q17" s="96"/>
    </row>
    <row r="18" spans="1:17" x14ac:dyDescent="0.25">
      <c r="A18" s="101" t="s">
        <v>81</v>
      </c>
      <c r="B18" s="92">
        <v>0</v>
      </c>
      <c r="C18" s="93">
        <v>4000</v>
      </c>
      <c r="D18" s="93">
        <f>D16</f>
        <v>4000</v>
      </c>
      <c r="E18" s="96">
        <v>1500</v>
      </c>
      <c r="F18" s="92">
        <v>33</v>
      </c>
      <c r="G18" s="93">
        <v>600</v>
      </c>
      <c r="H18" s="93">
        <v>3600</v>
      </c>
      <c r="I18" s="96"/>
      <c r="J18" s="92">
        <v>340</v>
      </c>
      <c r="K18" s="93">
        <v>0</v>
      </c>
      <c r="L18" s="93">
        <f t="shared" si="0"/>
        <v>4000</v>
      </c>
      <c r="M18" s="96">
        <f t="shared" si="0"/>
        <v>0</v>
      </c>
      <c r="N18" s="92">
        <v>314</v>
      </c>
      <c r="O18" s="93">
        <f>O15</f>
        <v>0</v>
      </c>
      <c r="P18" s="93">
        <f>P15</f>
        <v>12700</v>
      </c>
      <c r="Q18" s="96"/>
    </row>
    <row r="19" spans="1:17" hidden="1" x14ac:dyDescent="0.25">
      <c r="A19" s="102"/>
      <c r="B19" s="97"/>
      <c r="C19" s="98"/>
      <c r="D19" s="98"/>
      <c r="E19" s="99"/>
      <c r="F19" s="97"/>
      <c r="G19" s="98"/>
      <c r="H19" s="98"/>
      <c r="I19" s="99"/>
      <c r="J19" s="97"/>
      <c r="K19" s="98"/>
      <c r="L19" s="98"/>
      <c r="M19" s="99"/>
      <c r="N19" s="97"/>
      <c r="O19" s="98">
        <f>O15</f>
        <v>0</v>
      </c>
      <c r="P19" s="98">
        <f>P15</f>
        <v>12700</v>
      </c>
      <c r="Q19" s="99">
        <f>Q15</f>
        <v>0</v>
      </c>
    </row>
    <row r="20" spans="1:17" ht="12.75" thickBot="1" x14ac:dyDescent="0.3">
      <c r="A20" s="75" t="s">
        <v>42</v>
      </c>
      <c r="B20" s="76"/>
      <c r="C20" s="100">
        <f>C14</f>
        <v>2000</v>
      </c>
      <c r="D20" s="100">
        <f>D14</f>
        <v>2000</v>
      </c>
      <c r="E20" s="77"/>
      <c r="F20" s="76"/>
      <c r="G20" s="100">
        <f>G14</f>
        <v>200</v>
      </c>
      <c r="H20" s="100">
        <f>H14</f>
        <v>1200</v>
      </c>
      <c r="I20" s="77"/>
      <c r="J20" s="76"/>
      <c r="K20" s="100">
        <f>K14</f>
        <v>0</v>
      </c>
      <c r="L20" s="111">
        <f>L14</f>
        <v>2000</v>
      </c>
      <c r="M20" s="77"/>
      <c r="N20" s="76"/>
      <c r="O20" s="100">
        <f>O14</f>
        <v>0</v>
      </c>
      <c r="P20" s="100">
        <f>P14</f>
        <v>6350</v>
      </c>
      <c r="Q20" s="77"/>
    </row>
    <row r="21" spans="1:17" ht="15.75" customHeight="1" thickBot="1" x14ac:dyDescent="0.3">
      <c r="A21" s="61" t="s">
        <v>22</v>
      </c>
      <c r="B21" s="149">
        <f>E28</f>
        <v>475</v>
      </c>
      <c r="C21" s="150"/>
      <c r="D21" s="150"/>
      <c r="E21" s="151"/>
      <c r="F21" s="149">
        <f>I28</f>
        <v>65</v>
      </c>
      <c r="G21" s="150"/>
      <c r="H21" s="150"/>
      <c r="I21" s="151"/>
      <c r="J21" s="149">
        <f>M28</f>
        <v>20</v>
      </c>
      <c r="K21" s="150"/>
      <c r="L21" s="150"/>
      <c r="M21" s="151"/>
      <c r="N21" s="149">
        <f>Q28</f>
        <v>35</v>
      </c>
      <c r="O21" s="150"/>
      <c r="P21" s="150"/>
      <c r="Q21" s="151"/>
    </row>
    <row r="23" spans="1:17" ht="12.75" hidden="1" thickBot="1" x14ac:dyDescent="0.3">
      <c r="B23" s="78" t="s">
        <v>44</v>
      </c>
    </row>
    <row r="24" spans="1:17" ht="12.75" hidden="1" thickBot="1" x14ac:dyDescent="0.3">
      <c r="A24" s="107" t="s">
        <v>74</v>
      </c>
      <c r="B24" s="106">
        <v>0</v>
      </c>
    </row>
    <row r="25" spans="1:17" hidden="1" x14ac:dyDescent="0.25">
      <c r="G25" s="79"/>
    </row>
    <row r="26" spans="1:17" hidden="1" x14ac:dyDescent="0.25">
      <c r="B26" s="78" t="s">
        <v>48</v>
      </c>
      <c r="C26" s="78" t="s">
        <v>49</v>
      </c>
      <c r="D26" s="78" t="s">
        <v>50</v>
      </c>
      <c r="E26" s="78" t="s">
        <v>22</v>
      </c>
      <c r="F26" s="78" t="s">
        <v>48</v>
      </c>
      <c r="G26" s="78" t="s">
        <v>49</v>
      </c>
      <c r="H26" s="78" t="s">
        <v>50</v>
      </c>
      <c r="I26" s="78" t="s">
        <v>22</v>
      </c>
      <c r="J26" s="78" t="s">
        <v>48</v>
      </c>
      <c r="K26" s="78" t="s">
        <v>49</v>
      </c>
      <c r="L26" s="78" t="s">
        <v>50</v>
      </c>
      <c r="M26" s="78" t="s">
        <v>22</v>
      </c>
      <c r="N26" s="78" t="s">
        <v>48</v>
      </c>
      <c r="O26" s="78" t="s">
        <v>49</v>
      </c>
      <c r="P26" s="78" t="s">
        <v>50</v>
      </c>
      <c r="Q26" s="78" t="s">
        <v>22</v>
      </c>
    </row>
    <row r="27" spans="1:17" hidden="1" x14ac:dyDescent="0.25">
      <c r="A27" s="61" t="s">
        <v>51</v>
      </c>
      <c r="B27" s="80">
        <f>MIN(SUMPRODUCT(C3:C11,$S$3:$S$11),B30)</f>
        <v>475</v>
      </c>
      <c r="C27" s="80">
        <f>MIN(SUMPRODUCT(C3:C11,$T$3:$T$11),C30)</f>
        <v>0</v>
      </c>
      <c r="D27" s="80">
        <f>MIN(SUMPRODUCT(C3:C11,$U$3:$U$11),D30)</f>
        <v>0</v>
      </c>
      <c r="E27" s="80">
        <f>MIN(SUM(B27:D27),E30)</f>
        <v>475</v>
      </c>
      <c r="F27" s="80">
        <f>MIN(SUMPRODUCT(G3:G11,$S$3:$S$11),F30)</f>
        <v>0</v>
      </c>
      <c r="G27" s="80">
        <f>MIN(SUMPRODUCT(G3:G11,$T$3:$T$11),G30)</f>
        <v>0</v>
      </c>
      <c r="H27" s="80">
        <f>MIN(SUMPRODUCT(G3:G11,$U$3:$U$11),H30)</f>
        <v>0</v>
      </c>
      <c r="I27" s="80">
        <f>MIN(SUM(F27:H27),I30)</f>
        <v>0</v>
      </c>
      <c r="J27" s="80">
        <f>MIN(SUMPRODUCT(K3:K11,$S$3:$S$11),J30)</f>
        <v>0</v>
      </c>
      <c r="K27" s="80">
        <f>MIN(SUMPRODUCT(K3:K11,$T$3:$T$11),K30)</f>
        <v>0</v>
      </c>
      <c r="L27" s="80">
        <f>MIN(SUMPRODUCT(K3:K11,$U$3:$U$11),L30)</f>
        <v>0</v>
      </c>
      <c r="M27" s="80">
        <f>MIN(SUM(J27:L27),M30)</f>
        <v>0</v>
      </c>
      <c r="N27" s="80">
        <f>MIN(SUMPRODUCT(O3:O11,$S$3:$S$11),N30)</f>
        <v>0</v>
      </c>
      <c r="O27" s="80">
        <f>MIN(SUMPRODUCT(O3:O11,$T$3:$T$11),O30)</f>
        <v>0</v>
      </c>
      <c r="P27" s="80">
        <f>MIN(SUMPRODUCT(O3:O11,$U$3:$U$11),P30)</f>
        <v>0</v>
      </c>
      <c r="Q27" s="80">
        <f>MIN(SUM(N27:P27),Q30)</f>
        <v>0</v>
      </c>
    </row>
    <row r="28" spans="1:17" hidden="1" x14ac:dyDescent="0.25">
      <c r="A28" s="61" t="s">
        <v>52</v>
      </c>
      <c r="B28" s="81">
        <f>MIN(SUM(MAX((SUMPRODUCT(C3:C11,$S$3:$S$11)-B30)*(1-E3),0),SUMPRODUCT((B3:B11+(1-E3)*(D3:D11))*$S$3:$S$11)),B31-B27)</f>
        <v>0</v>
      </c>
      <c r="C28" s="81">
        <f>MIN(SUM(MAX((SUMPRODUCT(C3:C11,$T$3:$T$11)-C30)*(1-E3),0),SUMPRODUCT((B3:B11+(1-E3)*(D3:D11))*$T$3:$T$11)),C31-C27)</f>
        <v>0</v>
      </c>
      <c r="D28" s="81">
        <f>MIN(SUM(MAX((SUMPRODUCT(C3:C11,$U$3:$U$11)-D30)*(1-E3),0),SUMPRODUCT((B3:B11+(1-E3)*(D3:D11))*$U$3:$U$11)),D31-D27)</f>
        <v>0</v>
      </c>
      <c r="E28" s="82">
        <f>MIN(SUM(B28:D28,E27,),E31)</f>
        <v>475</v>
      </c>
      <c r="F28" s="81">
        <f>MIN(SUM(MAX((SUMPRODUCT(G3:G11,$S$3:$S$11)-F30)*(1-I3),0),SUMPRODUCT((F3:F11+(1-I3)*(H3:H11))*$S$3:$S$11)),F31-F27)</f>
        <v>65</v>
      </c>
      <c r="G28" s="81">
        <f>MIN(SUM(MAX((SUMPRODUCT(G3:G11,$T$3:$T$11)-G30)*(1-I3),0),SUMPRODUCT((F3:F11+(1-I3)*(H3:H11))*$T$3:$T$11)),G31-G27)</f>
        <v>0</v>
      </c>
      <c r="H28" s="81">
        <f>MIN(SUM(MAX((SUMPRODUCT(G3:G11,$U$3:$U$11)-H30)*(1-I3),0),SUMPRODUCT((F3:F11+(1-I3)*(H3:H11))*$U$3:$U$11)),H31-H27)</f>
        <v>0</v>
      </c>
      <c r="I28" s="82">
        <f>MIN(SUM(F28:H28,I27,),I31)</f>
        <v>65</v>
      </c>
      <c r="J28" s="81">
        <f>MIN(SUM(MAX((SUMPRODUCT(K3:K11,$S$3:$S$11)-J30)*(1-M3),0),SUMPRODUCT((J3:J11+(1-M3)*(L3:L11))*$S$3:$S$11)),J31-J27)</f>
        <v>20</v>
      </c>
      <c r="K28" s="81">
        <f>MIN(SUM(MAX((SUMPRODUCT(K3:K11,$T$3:$T$11)-K30)*(1-M3),0),SUMPRODUCT((J3:J11+(1-M3)*(L3:L11))*$T$3:$T$11)),K31-K27)</f>
        <v>0</v>
      </c>
      <c r="L28" s="81">
        <f>MIN(SUM(MAX((SUMPRODUCT(K3:K11,$U$3:$U$11)-L30)*(1-M3),0),SUMPRODUCT((J3:J11+(1-M3)*(L3:L11))*$U$3:$U$11)),L31-L27)</f>
        <v>0</v>
      </c>
      <c r="M28" s="82">
        <f>MIN(SUM(J28:L28,M27,),M31)</f>
        <v>20</v>
      </c>
      <c r="N28" s="81">
        <f>MIN(SUM(MAX((SUMPRODUCT(O3:O11,$S$3:$S$11)-N30)*(1-Q3),0),SUMPRODUCT((N3:N11+(1-Q3)*(P3:P11))*$S$3:$S$11)),N31-N27)</f>
        <v>35</v>
      </c>
      <c r="O28" s="81">
        <f>MIN(SUM(MAX((SUMPRODUCT(O3:O11,$T$3:$T$11)-O30)*(1-Q3),0),SUMPRODUCT((N3:N11+(1-Q3)*(P3:P11))*$T$3:$T$11)),O31-O27)</f>
        <v>0</v>
      </c>
      <c r="P28" s="81">
        <f>MIN(SUM(MAX((SUMPRODUCT(O3:O11,$U$3:$U$11)-P30)*(1-Q3),0),SUMPRODUCT((N3:N11+(1-Q3)*(P3:P11))*$U$3:$U$11)),P31-P27)</f>
        <v>0</v>
      </c>
      <c r="Q28" s="82">
        <f>MIN(SUM(N28:P28,Q27,),Q31)</f>
        <v>35</v>
      </c>
    </row>
    <row r="29" spans="1:17" hidden="1" x14ac:dyDescent="0.25">
      <c r="B29" s="81"/>
      <c r="C29" s="81"/>
      <c r="D29" s="81"/>
      <c r="E29" s="80"/>
      <c r="F29" s="81"/>
      <c r="G29" s="81"/>
      <c r="H29" s="81"/>
      <c r="I29" s="80"/>
      <c r="J29" s="81"/>
      <c r="K29" s="81"/>
      <c r="L29" s="81"/>
      <c r="M29" s="80"/>
      <c r="N29" s="81"/>
      <c r="O29" s="81"/>
      <c r="P29" s="81"/>
      <c r="Q29" s="80"/>
    </row>
    <row r="30" spans="1:17" hidden="1" x14ac:dyDescent="0.25">
      <c r="A30" s="61" t="s">
        <v>4</v>
      </c>
      <c r="B30" s="80">
        <f>IF('Plan Comparison Calculator'!$C$4=Data!$A$14,Data!C14,IF(C13=$AA$1,C20,INDEX(B13:E20,MATCH('Plan Comparison Calculator'!$C$4,Data!$A$13:$A$20,0),MATCH(C12,B12:E12,0))))</f>
        <v>2000</v>
      </c>
      <c r="C30" s="80">
        <f>MIN(E30-B27,B30)</f>
        <v>1525</v>
      </c>
      <c r="D30" s="80">
        <f>MIN(E30-SUM(B27:C27),B30)</f>
        <v>1525</v>
      </c>
      <c r="E30" s="80">
        <f>INDEX(B13:E20,MATCH('Plan Comparison Calculator'!$C$4,Data!$A$13:$A$20,0),MATCH(C12,B12:E12,0))</f>
        <v>2000</v>
      </c>
      <c r="F30" s="80">
        <f>IF('Plan Comparison Calculator'!$C$4=Data!$A$14,Data!G14,IF(G13=$AA$1,G20,INDEX(F13:I20,MATCH('Plan Comparison Calculator'!$C$4,Data!$A$13:$A$20,0),MATCH(G12,F12:I12,0))))</f>
        <v>200</v>
      </c>
      <c r="G30" s="80">
        <f>MIN(I30-F27,F30)</f>
        <v>200</v>
      </c>
      <c r="H30" s="80">
        <f>MIN(I30-SUM(F27:G27),F30)</f>
        <v>200</v>
      </c>
      <c r="I30" s="80">
        <f>INDEX(F13:I20,MATCH('Plan Comparison Calculator'!$C$4,Data!$A$13:$A$20,0),MATCH(G12,F12:I12,0))</f>
        <v>200</v>
      </c>
      <c r="J30" s="80">
        <f>IF('Plan Comparison Calculator'!$C$4=Data!$A$14,Data!K14,IF(K13=$AA$1,K20,INDEX(J13:M20,MATCH('Plan Comparison Calculator'!$C$4,Data!$A$13:$A$20,0),MATCH(K12,J12:M12,0))))</f>
        <v>0</v>
      </c>
      <c r="K30" s="80">
        <f>MIN(M30-J27,J30)</f>
        <v>0</v>
      </c>
      <c r="L30" s="80">
        <f>MIN(M30-SUM(J27:K27),J30)</f>
        <v>0</v>
      </c>
      <c r="M30" s="80">
        <f>INDEX(J13:M20,MATCH('Plan Comparison Calculator'!$C$4,Data!$A$13:$A$20,0),MATCH(K12,J12:M12,0))</f>
        <v>0</v>
      </c>
      <c r="N30" s="80">
        <f>IF('Plan Comparison Calculator'!$C$4=Data!$A$14,Data!O14,IF(O13=$AA$1,O20,INDEX(N13:Q20,MATCH('Plan Comparison Calculator'!$C$4,Data!$A$13:$A$20,0),MATCH(O12,N12:Q12,0))))</f>
        <v>0</v>
      </c>
      <c r="O30" s="80">
        <f>MIN(Q30-N27,N30)</f>
        <v>0</v>
      </c>
      <c r="P30" s="80">
        <f>MIN(Q30-SUM(N27:O27),N30)</f>
        <v>0</v>
      </c>
      <c r="Q30" s="80">
        <f>INDEX(N13:Q20,MATCH('Plan Comparison Calculator'!$C$4,Data!$A$13:$A$20,0),MATCH(O12,N12:Q12,0))</f>
        <v>0</v>
      </c>
    </row>
    <row r="31" spans="1:17" hidden="1" x14ac:dyDescent="0.25">
      <c r="A31" s="61" t="s">
        <v>34</v>
      </c>
      <c r="B31" s="80">
        <f>IF('Plan Comparison Calculator'!$C$4=Data!$A$14,Data!D14,IF(D13=$AA$1,D20,INDEX(B13:E20,MATCH('Plan Comparison Calculator'!$C$4,Data!$A$13:$A$20,0),MATCH(D12,B12:E12,0))))</f>
        <v>2000</v>
      </c>
      <c r="C31" s="80">
        <f>B31</f>
        <v>2000</v>
      </c>
      <c r="D31" s="80">
        <f>B31</f>
        <v>2000</v>
      </c>
      <c r="E31" s="80">
        <f>INDEX(B13:E20,MATCH('Plan Comparison Calculator'!$C$4,Data!$A$13:$A$20,0),MATCH(D12,B12:E12,0))</f>
        <v>2000</v>
      </c>
      <c r="F31" s="80">
        <f>IF('Plan Comparison Calculator'!$C$4=Data!$A$14,Data!H14,IF(H13=$AA$1,H20,INDEX(F13:I20,MATCH('Plan Comparison Calculator'!$C$4,Data!$A$13:$A$20,0),MATCH(H12,F12:I12,0))))</f>
        <v>1200</v>
      </c>
      <c r="G31" s="80">
        <f>F31</f>
        <v>1200</v>
      </c>
      <c r="H31" s="80">
        <f>F31</f>
        <v>1200</v>
      </c>
      <c r="I31" s="80">
        <f>INDEX(F13:I20,MATCH('Plan Comparison Calculator'!$C$4,Data!$A$13:$A$20,0),MATCH(H12,F12:I12,0))</f>
        <v>1200</v>
      </c>
      <c r="J31" s="80">
        <f>IF('Plan Comparison Calculator'!$C$4=Data!$A$14,Data!L14,IF(L13=$AA$1,L20,INDEX(J13:M20,MATCH('Plan Comparison Calculator'!$C$4,Data!$A$13:$A$20,0),MATCH(L12,J12:M12,0))))</f>
        <v>2000</v>
      </c>
      <c r="K31" s="80">
        <f>J31</f>
        <v>2000</v>
      </c>
      <c r="L31" s="80">
        <f>J31</f>
        <v>2000</v>
      </c>
      <c r="M31" s="80">
        <f>INDEX(J13:M20,MATCH('Plan Comparison Calculator'!$C$4,Data!$A$13:$A$20,0),MATCH(L12,J12:M12,0))</f>
        <v>2000</v>
      </c>
      <c r="N31" s="80">
        <f>IF('Plan Comparison Calculator'!$C$4=Data!$A$14,Data!P14,IF(P13=$AA$1,P20,INDEX(N13:Q20,MATCH('Plan Comparison Calculator'!$C$4,Data!$A$13:$A$20,0),MATCH(P12,N12:Q12,0))))</f>
        <v>6350</v>
      </c>
      <c r="O31" s="80">
        <f>N31</f>
        <v>6350</v>
      </c>
      <c r="P31" s="80">
        <f>N31</f>
        <v>6350</v>
      </c>
      <c r="Q31" s="80">
        <f>INDEX(N13:Q20,MATCH('Plan Comparison Calculator'!$C$4,Data!$A$13:$A$20,0),MATCH(P12,N12:Q12,0))</f>
        <v>6350</v>
      </c>
    </row>
    <row r="32" spans="1:17" hidden="1" x14ac:dyDescent="0.25">
      <c r="F32" s="79"/>
      <c r="G32" s="79"/>
    </row>
    <row r="33" spans="2:7" hidden="1" x14ac:dyDescent="0.25">
      <c r="B33" s="60" t="s">
        <v>64</v>
      </c>
    </row>
    <row r="34" spans="2:7" hidden="1" x14ac:dyDescent="0.25">
      <c r="B34" s="60" t="s">
        <v>67</v>
      </c>
    </row>
    <row r="35" spans="2:7" hidden="1" x14ac:dyDescent="0.25">
      <c r="B35" s="60" t="s">
        <v>68</v>
      </c>
    </row>
    <row r="36" spans="2:7" hidden="1" x14ac:dyDescent="0.25">
      <c r="B36" s="60" t="s">
        <v>65</v>
      </c>
    </row>
    <row r="37" spans="2:7" hidden="1" x14ac:dyDescent="0.25">
      <c r="B37" s="60" t="s">
        <v>66</v>
      </c>
    </row>
    <row r="38" spans="2:7" hidden="1" x14ac:dyDescent="0.25">
      <c r="B38" s="60" t="s">
        <v>69</v>
      </c>
    </row>
    <row r="39" spans="2:7" hidden="1" x14ac:dyDescent="0.25">
      <c r="B39" s="60" t="s">
        <v>70</v>
      </c>
    </row>
    <row r="41" spans="2:7" ht="15.75" x14ac:dyDescent="0.25">
      <c r="B41" s="105" t="s">
        <v>53</v>
      </c>
    </row>
    <row r="42" spans="2:7" x14ac:dyDescent="0.25">
      <c r="B42" s="83" t="s">
        <v>71</v>
      </c>
      <c r="C42" s="84"/>
      <c r="D42" s="84"/>
      <c r="E42" s="79"/>
      <c r="G42" s="79"/>
    </row>
    <row r="43" spans="2:7" x14ac:dyDescent="0.25">
      <c r="B43" s="83" t="s">
        <v>72</v>
      </c>
      <c r="C43" s="84"/>
      <c r="D43" s="84"/>
    </row>
    <row r="44" spans="2:7" x14ac:dyDescent="0.25">
      <c r="B44" s="83" t="s">
        <v>54</v>
      </c>
      <c r="C44" s="84"/>
      <c r="D44" s="84"/>
      <c r="E44" s="79"/>
    </row>
    <row r="45" spans="2:7" x14ac:dyDescent="0.25">
      <c r="B45" s="85" t="s">
        <v>55</v>
      </c>
      <c r="C45" s="84"/>
      <c r="D45" s="84"/>
    </row>
    <row r="46" spans="2:7" x14ac:dyDescent="0.25">
      <c r="B46" s="86" t="s">
        <v>56</v>
      </c>
      <c r="C46" s="84"/>
      <c r="D46" s="84"/>
    </row>
    <row r="47" spans="2:7" x14ac:dyDescent="0.25">
      <c r="B47" s="86" t="s">
        <v>57</v>
      </c>
      <c r="C47" s="84"/>
      <c r="D47" s="84"/>
    </row>
    <row r="48" spans="2:7" x14ac:dyDescent="0.25">
      <c r="B48" s="60" t="s">
        <v>58</v>
      </c>
      <c r="C48" s="84"/>
      <c r="D48" s="84"/>
    </row>
    <row r="49" spans="2:4" x14ac:dyDescent="0.25">
      <c r="B49" s="83" t="s">
        <v>59</v>
      </c>
      <c r="C49" s="84"/>
      <c r="D49" s="84"/>
    </row>
    <row r="50" spans="2:4" x14ac:dyDescent="0.25">
      <c r="B50" s="83" t="s">
        <v>60</v>
      </c>
      <c r="C50" s="84"/>
      <c r="D50" s="84"/>
    </row>
    <row r="51" spans="2:4" x14ac:dyDescent="0.25">
      <c r="B51" s="83" t="s">
        <v>61</v>
      </c>
      <c r="C51" s="84"/>
      <c r="D51" s="84"/>
    </row>
    <row r="52" spans="2:4" x14ac:dyDescent="0.25">
      <c r="B52" s="83" t="s">
        <v>76</v>
      </c>
    </row>
    <row r="53" spans="2:4" x14ac:dyDescent="0.25">
      <c r="B53" s="60" t="s">
        <v>63</v>
      </c>
    </row>
    <row r="54" spans="2:4" x14ac:dyDescent="0.25">
      <c r="B54" s="113" t="s">
        <v>62</v>
      </c>
    </row>
    <row r="55" spans="2:4" x14ac:dyDescent="0.25">
      <c r="B55" s="87"/>
    </row>
    <row r="56" spans="2:4" x14ac:dyDescent="0.25">
      <c r="B56" s="87"/>
    </row>
    <row r="57" spans="2:4" x14ac:dyDescent="0.25">
      <c r="B57" s="87"/>
    </row>
    <row r="58" spans="2:4" x14ac:dyDescent="0.25">
      <c r="B58" s="87"/>
    </row>
    <row r="59" spans="2:4" x14ac:dyDescent="0.25">
      <c r="B59" s="87"/>
    </row>
  </sheetData>
  <mergeCells count="8">
    <mergeCell ref="B1:E1"/>
    <mergeCell ref="F1:I1"/>
    <mergeCell ref="J1:M1"/>
    <mergeCell ref="N1:Q1"/>
    <mergeCell ref="N21:Q21"/>
    <mergeCell ref="J21:M21"/>
    <mergeCell ref="F21:I21"/>
    <mergeCell ref="B21:E21"/>
  </mergeCells>
  <conditionalFormatting sqref="C20:D20">
    <cfRule type="expression" dxfId="3" priority="17">
      <formula>C$13&lt;&gt;$AA$1</formula>
    </cfRule>
  </conditionalFormatting>
  <conditionalFormatting sqref="G20:H20">
    <cfRule type="expression" dxfId="2" priority="5">
      <formula>G$13&lt;&gt;$AA$1</formula>
    </cfRule>
  </conditionalFormatting>
  <conditionalFormatting sqref="K20:L20">
    <cfRule type="expression" dxfId="1" priority="3">
      <formula>K$13&lt;&gt;$AA$1</formula>
    </cfRule>
  </conditionalFormatting>
  <conditionalFormatting sqref="O20:P20">
    <cfRule type="expression" dxfId="0" priority="1">
      <formula>O$13&lt;&gt;$AA$1</formula>
    </cfRule>
  </conditionalFormatting>
  <dataValidations count="3">
    <dataValidation type="list" allowBlank="1" showInputMessage="1" showErrorMessage="1" sqref="E13 I13 M13 Q13" xr:uid="{00000000-0002-0000-0100-000000000000}">
      <formula1>$AB$1:$AB$3</formula1>
    </dataValidation>
    <dataValidation type="list" allowBlank="1" showInputMessage="1" showErrorMessage="1" sqref="C13:D13 G13:H13 K13:L13 O13:P13" xr:uid="{00000000-0002-0000-0100-000001000000}">
      <formula1>$AA$1:$AA$2</formula1>
    </dataValidation>
    <dataValidation type="list" allowBlank="1" showInputMessage="1" showErrorMessage="1" sqref="A24" xr:uid="{00000000-0002-0000-0100-000002000000}">
      <formula1>$AC$1:$AC$3</formula1>
    </dataValidation>
  </dataValidations>
  <pageMargins left="0.7" right="0.7" top="0.75" bottom="0.75" header="0.3" footer="0.3"/>
  <pageSetup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Plan Comparison Calculator</vt:lpstr>
      <vt:lpstr>Data</vt:lpstr>
      <vt:lpstr>Data!Print_Area</vt:lpstr>
      <vt:lpstr>'Plan Comparison Calculator'!Print_Area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Pearce</dc:creator>
  <cp:lastModifiedBy>Shaun Nihei</cp:lastModifiedBy>
  <cp:lastPrinted>2018-09-05T18:53:51Z</cp:lastPrinted>
  <dcterms:created xsi:type="dcterms:W3CDTF">2009-03-02T16:23:36Z</dcterms:created>
  <dcterms:modified xsi:type="dcterms:W3CDTF">2024-10-02T00:01:54Z</dcterms:modified>
</cp:coreProperties>
</file>